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7"/>
  </bookViews>
  <sheets>
    <sheet name="tav4.7 segue OK" sheetId="1" r:id="rId1"/>
    <sheet name="tav4.7 OK" sheetId="2" r:id="rId2"/>
    <sheet name="tav4.6 OK" sheetId="3" r:id="rId3"/>
    <sheet name="tav4.5 OK" sheetId="4" r:id="rId4"/>
    <sheet name="tav4.4 OK" sheetId="5" r:id="rId5"/>
    <sheet name="tav4.3 OK" sheetId="6" r:id="rId6"/>
    <sheet name="tav4.2 OK" sheetId="7" r:id="rId7"/>
    <sheet name="tav4.1 " sheetId="8" r:id="rId8"/>
  </sheets>
  <definedNames/>
  <calcPr fullCalcOnLoad="1"/>
</workbook>
</file>

<file path=xl/sharedStrings.xml><?xml version="1.0" encoding="utf-8"?>
<sst xmlns="http://schemas.openxmlformats.org/spreadsheetml/2006/main" count="323" uniqueCount="85">
  <si>
    <t>Agrigento</t>
  </si>
  <si>
    <t>Caltanissetta</t>
  </si>
  <si>
    <t>Enna</t>
  </si>
  <si>
    <t>Messina</t>
  </si>
  <si>
    <t>Palermo</t>
  </si>
  <si>
    <t>Catania</t>
  </si>
  <si>
    <t>Ragusa</t>
  </si>
  <si>
    <t>Siracusa</t>
  </si>
  <si>
    <t>Trapani</t>
  </si>
  <si>
    <t>20-24</t>
  </si>
  <si>
    <t>25-34</t>
  </si>
  <si>
    <t>35-44</t>
  </si>
  <si>
    <t>-</t>
  </si>
  <si>
    <t>2004</t>
  </si>
  <si>
    <t>2005</t>
  </si>
  <si>
    <t>2006</t>
  </si>
  <si>
    <t>2007</t>
  </si>
  <si>
    <t>2008</t>
  </si>
  <si>
    <t>n.d.</t>
  </si>
  <si>
    <t>2009</t>
  </si>
  <si>
    <t>Table 4.1 National Health Service balance-sheet indicators (in thousands of Euros)</t>
  </si>
  <si>
    <t>Sicily</t>
  </si>
  <si>
    <t>South/islands</t>
  </si>
  <si>
    <t>North/centre</t>
  </si>
  <si>
    <t>Ovrerall expenditure</t>
  </si>
  <si>
    <t xml:space="preserve">Per capita expenditure (Euros) </t>
  </si>
  <si>
    <t>Costs</t>
  </si>
  <si>
    <t>Revenue</t>
  </si>
  <si>
    <t>Regional mobility balance</t>
  </si>
  <si>
    <t>Final balance</t>
  </si>
  <si>
    <t>Per capita (Euros)</t>
  </si>
  <si>
    <t>Italy</t>
  </si>
  <si>
    <t>Source:  ISTAT data -processing</t>
  </si>
  <si>
    <t>Table 4.2  Public and private hospitals</t>
  </si>
  <si>
    <t>Number</t>
  </si>
  <si>
    <t>Beds</t>
  </si>
  <si>
    <t xml:space="preserve">In-patients annually </t>
  </si>
  <si>
    <t>Days of hospital-stay</t>
  </si>
  <si>
    <t>Utilisation rate x 100 per bed</t>
  </si>
  <si>
    <t>Public hospitals</t>
  </si>
  <si>
    <t>Provinces - 2007</t>
  </si>
  <si>
    <t>Divisions - 2007</t>
  </si>
  <si>
    <t>Italy = 100</t>
  </si>
  <si>
    <t>Italy (b)</t>
  </si>
  <si>
    <t>Private hospitals</t>
  </si>
  <si>
    <t>Table 4.3  Personnel in public and private hospitals</t>
  </si>
  <si>
    <t>Doctors</t>
  </si>
  <si>
    <t>Auxiliary staff</t>
  </si>
  <si>
    <t>Admin.staff</t>
  </si>
  <si>
    <t>Others</t>
  </si>
  <si>
    <t>Total</t>
  </si>
  <si>
    <t>Table 4.4  Indicators for hospital personnel structure</t>
  </si>
  <si>
    <t>Per 1,000 residents</t>
  </si>
  <si>
    <t>Per 100 beds</t>
  </si>
  <si>
    <t>Table 4.5  Voluntary interrupted pregnancy by mother’s age and Province of operation</t>
  </si>
  <si>
    <t>Up to age of 19 years</t>
  </si>
  <si>
    <t>45 and over(a)</t>
  </si>
  <si>
    <t>Provinces - 2009</t>
  </si>
  <si>
    <t xml:space="preserve">(a) includes the class "age not indicated" </t>
  </si>
  <si>
    <t>Divisions - 2009</t>
  </si>
  <si>
    <t xml:space="preserve">Table 4.6  Voluntary interrupted pregnancy by mother’s age and Province of residence  </t>
  </si>
  <si>
    <t>Table 4.7 Deaths by groups of cause and gender in Sicily</t>
  </si>
  <si>
    <t>Cause of death</t>
  </si>
  <si>
    <t>Tumours</t>
  </si>
  <si>
    <t xml:space="preserve">  malignant</t>
  </si>
  <si>
    <t>of the stomach</t>
  </si>
  <si>
    <t xml:space="preserve">of the colon, rectum and anus </t>
  </si>
  <si>
    <t>of the trachea, bronchi and lungs</t>
  </si>
  <si>
    <t>of the breast (females)</t>
  </si>
  <si>
    <t>Diabetes mellitus</t>
  </si>
  <si>
    <t>Diseases of the nervous system</t>
  </si>
  <si>
    <t xml:space="preserve">Diseases of the circulatory system </t>
  </si>
  <si>
    <t>Diseases of the digestive system</t>
  </si>
  <si>
    <t>Accidents or violent causes</t>
  </si>
  <si>
    <t>Other causes</t>
  </si>
  <si>
    <t>Males</t>
  </si>
  <si>
    <t>Females</t>
  </si>
  <si>
    <t xml:space="preserve">Ischemic heart diseases </t>
  </si>
  <si>
    <t>Other heart diseases</t>
  </si>
  <si>
    <t>Encephaletic-vascular diseases</t>
  </si>
  <si>
    <t>Males and females</t>
  </si>
  <si>
    <t>Causes of death</t>
  </si>
  <si>
    <t>Table 4.7 cont. Deaths by groups of cause  and gender in Sicily</t>
  </si>
  <si>
    <t>(b) The data for Abruzzo, Basilicata, Sicily and Sardegna is incomplete</t>
  </si>
  <si>
    <t>Source:  Ministry of Health data-processing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</si>
</sst>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#,##0_ ;\-#,##0\ "/>
    <numFmt numFmtId="174" formatCode="#,##0.0_ ;\-#,##0.0\ "/>
    <numFmt numFmtId="175" formatCode="0.0"/>
    <numFmt numFmtId="176" formatCode="#,##0;[Red]#,##0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.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#,##0.000"/>
    <numFmt numFmtId="187" formatCode="#,##0.00_ ;\-#,##0.00\ "/>
    <numFmt numFmtId="188" formatCode="#,##0.000_ ;\-#,##0.000\ "/>
  </numFmts>
  <fonts count="46">
    <font>
      <sz val="16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12"/>
      <name val="Arial"/>
      <family val="2"/>
    </font>
    <font>
      <sz val="7"/>
      <name val="Arial"/>
      <family val="2"/>
    </font>
    <font>
      <b/>
      <i/>
      <sz val="10"/>
      <color indexed="10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6">
    <xf numFmtId="170" fontId="0" fillId="0" borderId="0" xfId="0" applyAlignment="1">
      <alignment/>
    </xf>
    <xf numFmtId="170" fontId="4" fillId="0" borderId="0" xfId="0" applyFont="1" applyAlignment="1">
      <alignment/>
    </xf>
    <xf numFmtId="170" fontId="5" fillId="0" borderId="0" xfId="0" applyFont="1" applyBorder="1" applyAlignment="1">
      <alignment/>
    </xf>
    <xf numFmtId="170" fontId="5" fillId="0" borderId="10" xfId="0" applyFont="1" applyBorder="1" applyAlignment="1">
      <alignment/>
    </xf>
    <xf numFmtId="173" fontId="4" fillId="0" borderId="0" xfId="44" applyNumberFormat="1" applyFont="1" applyBorder="1" applyAlignment="1">
      <alignment/>
    </xf>
    <xf numFmtId="170" fontId="1" fillId="0" borderId="0" xfId="0" applyFont="1" applyAlignment="1">
      <alignment/>
    </xf>
    <xf numFmtId="173" fontId="4" fillId="0" borderId="10" xfId="44" applyNumberFormat="1" applyFont="1" applyBorder="1" applyAlignment="1">
      <alignment horizontal="right"/>
    </xf>
    <xf numFmtId="170" fontId="4" fillId="0" borderId="0" xfId="0" applyFont="1" applyBorder="1" applyAlignment="1">
      <alignment/>
    </xf>
    <xf numFmtId="170" fontId="5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indent="1"/>
    </xf>
    <xf numFmtId="170" fontId="1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 horizontal="right"/>
    </xf>
    <xf numFmtId="170" fontId="5" fillId="0" borderId="0" xfId="0" applyFont="1" applyFill="1" applyBorder="1" applyAlignment="1" applyProtection="1">
      <alignment horizontal="left"/>
      <protection locked="0"/>
    </xf>
    <xf numFmtId="17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0" fontId="5" fillId="0" borderId="1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wrapText="1"/>
    </xf>
    <xf numFmtId="173" fontId="4" fillId="0" borderId="0" xfId="44" applyNumberFormat="1" applyFont="1" applyBorder="1" applyAlignment="1">
      <alignment horizontal="right" indent="1"/>
    </xf>
    <xf numFmtId="170" fontId="4" fillId="0" borderId="11" xfId="0" applyFont="1" applyBorder="1" applyAlignment="1">
      <alignment/>
    </xf>
    <xf numFmtId="170" fontId="4" fillId="0" borderId="0" xfId="0" applyFont="1" applyAlignment="1">
      <alignment horizontal="left"/>
    </xf>
    <xf numFmtId="170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 horizontal="right" indent="1"/>
    </xf>
    <xf numFmtId="174" fontId="2" fillId="0" borderId="0" xfId="44" applyNumberFormat="1" applyFont="1" applyBorder="1" applyAlignment="1">
      <alignment horizontal="right" indent="1"/>
    </xf>
    <xf numFmtId="170" fontId="4" fillId="0" borderId="0" xfId="0" applyFont="1" applyBorder="1" applyAlignment="1">
      <alignment horizontal="right" indent="1"/>
    </xf>
    <xf numFmtId="170" fontId="4" fillId="0" borderId="11" xfId="0" applyFont="1" applyBorder="1" applyAlignment="1">
      <alignment horizontal="right" vertical="center" indent="1"/>
    </xf>
    <xf numFmtId="170" fontId="2" fillId="0" borderId="0" xfId="0" applyFont="1" applyBorder="1" applyAlignment="1">
      <alignment horizontal="left" indent="1"/>
    </xf>
    <xf numFmtId="173" fontId="2" fillId="0" borderId="0" xfId="44" applyNumberFormat="1" applyFont="1" applyBorder="1" applyAlignment="1">
      <alignment horizontal="right"/>
    </xf>
    <xf numFmtId="49" fontId="6" fillId="0" borderId="0" xfId="44" applyNumberFormat="1" applyFont="1" applyAlignment="1">
      <alignment/>
    </xf>
    <xf numFmtId="49" fontId="6" fillId="0" borderId="0" xfId="44" applyNumberFormat="1" applyFont="1" applyAlignment="1">
      <alignment/>
    </xf>
    <xf numFmtId="170" fontId="4" fillId="0" borderId="0" xfId="0" applyFont="1" applyBorder="1" applyAlignment="1">
      <alignment horizontal="left"/>
    </xf>
    <xf numFmtId="174" fontId="4" fillId="0" borderId="0" xfId="44" applyNumberFormat="1" applyFont="1" applyBorder="1" applyAlignment="1">
      <alignment/>
    </xf>
    <xf numFmtId="170" fontId="3" fillId="0" borderId="0" xfId="0" applyFont="1" applyBorder="1" applyAlignment="1">
      <alignment horizontal="center"/>
    </xf>
    <xf numFmtId="17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170" fontId="2" fillId="0" borderId="0" xfId="0" applyFont="1" applyAlignment="1">
      <alignment/>
    </xf>
    <xf numFmtId="170" fontId="2" fillId="0" borderId="0" xfId="0" applyFont="1" applyAlignment="1">
      <alignment horizontal="right"/>
    </xf>
    <xf numFmtId="173" fontId="1" fillId="0" borderId="0" xfId="44" applyNumberFormat="1" applyFont="1" applyBorder="1" applyAlignment="1">
      <alignment horizontal="right"/>
    </xf>
    <xf numFmtId="175" fontId="4" fillId="0" borderId="0" xfId="0" applyNumberFormat="1" applyFont="1" applyAlignment="1">
      <alignment/>
    </xf>
    <xf numFmtId="174" fontId="4" fillId="0" borderId="0" xfId="44" applyNumberFormat="1" applyFont="1" applyFill="1" applyBorder="1" applyAlignment="1">
      <alignment horizontal="right" indent="1"/>
    </xf>
    <xf numFmtId="170" fontId="4" fillId="0" borderId="0" xfId="0" applyFont="1" applyFill="1" applyBorder="1" applyAlignment="1">
      <alignment horizontal="right" indent="1"/>
    </xf>
    <xf numFmtId="170" fontId="8" fillId="0" borderId="0" xfId="0" applyFont="1" applyAlignment="1">
      <alignment/>
    </xf>
    <xf numFmtId="170" fontId="9" fillId="0" borderId="0" xfId="0" applyFont="1" applyAlignment="1">
      <alignment/>
    </xf>
    <xf numFmtId="170" fontId="3" fillId="0" borderId="12" xfId="0" applyFont="1" applyBorder="1" applyAlignment="1">
      <alignment horizontal="center"/>
    </xf>
    <xf numFmtId="170" fontId="3" fillId="0" borderId="0" xfId="0" applyFont="1" applyBorder="1" applyAlignment="1">
      <alignment horizontal="center"/>
    </xf>
    <xf numFmtId="17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4792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200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420052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2005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479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4479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447925" y="4495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4958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24175" y="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10150" y="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553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38100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8100" y="1924050"/>
          <a:ext cx="4638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010150" y="3143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5530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10150" y="1924050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553075" y="192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733425</xdr:colOff>
      <xdr:row>7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240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10150" y="9429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5530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733425</xdr:colOff>
      <xdr:row>29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7816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5010150" y="578167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553075" y="5781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9241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2924175" y="4581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45815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29241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3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2924175" y="8058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733425</xdr:colOff>
      <xdr:row>43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8058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4486275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67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38250"/>
          <a:ext cx="405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09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09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673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67300" y="99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06730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733425</xdr:colOff>
      <xdr:row>23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44862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0125" y="126682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000125" y="0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742950</xdr:colOff>
      <xdr:row>0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1000125" y="126682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4" name="Testo 3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5" name="Testo 4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4619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46196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742950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26682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2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000125" y="4791075"/>
          <a:ext cx="3619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61962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742950</xdr:colOff>
      <xdr:row>24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4791075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9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0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0386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6196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54" name="Testo 5"/>
        <xdr:cNvSpPr txBox="1">
          <a:spLocks noChangeArrowheads="1"/>
        </xdr:cNvSpPr>
      </xdr:nvSpPr>
      <xdr:spPr>
        <a:xfrm>
          <a:off x="4953000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5340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009650" y="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5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5619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1009650" y="1257300"/>
          <a:ext cx="461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619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61975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1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3" name="Testo 4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5619750" y="595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733425</xdr:colOff>
      <xdr:row>30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59531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56197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7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8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5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66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67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2"/>
        <xdr:cNvSpPr txBox="1">
          <a:spLocks noChangeArrowheads="1"/>
        </xdr:cNvSpPr>
      </xdr:nvSpPr>
      <xdr:spPr>
        <a:xfrm>
          <a:off x="1009650" y="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705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Testo 2"/>
        <xdr:cNvSpPr txBox="1">
          <a:spLocks noChangeArrowheads="1"/>
        </xdr:cNvSpPr>
      </xdr:nvSpPr>
      <xdr:spPr>
        <a:xfrm>
          <a:off x="1009650" y="1257300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4" name="Testo 5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85" name="Testo 6"/>
        <xdr:cNvSpPr txBox="1">
          <a:spLocks noChangeArrowheads="1"/>
        </xdr:cNvSpPr>
      </xdr:nvSpPr>
      <xdr:spPr>
        <a:xfrm>
          <a:off x="47053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47053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12573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9" name="Testo 5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0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91" name="Testo 2"/>
        <xdr:cNvSpPr txBox="1">
          <a:spLocks noChangeArrowheads="1"/>
        </xdr:cNvSpPr>
      </xdr:nvSpPr>
      <xdr:spPr>
        <a:xfrm>
          <a:off x="1009650" y="5057775"/>
          <a:ext cx="3695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4705350" y="505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96" name="Testo 10"/>
        <xdr:cNvSpPr txBox="1">
          <a:spLocks noChangeArrowheads="1"/>
        </xdr:cNvSpPr>
      </xdr:nvSpPr>
      <xdr:spPr>
        <a:xfrm>
          <a:off x="0" y="50577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7" name="Testo 5"/>
        <xdr:cNvSpPr txBox="1">
          <a:spLocks noChangeArrowheads="1"/>
        </xdr:cNvSpPr>
      </xdr:nvSpPr>
      <xdr:spPr>
        <a:xfrm>
          <a:off x="41243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8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333375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0" name="Testo 5"/>
        <xdr:cNvSpPr txBox="1">
          <a:spLocks noChangeArrowheads="1"/>
        </xdr:cNvSpPr>
      </xdr:nvSpPr>
      <xdr:spPr>
        <a:xfrm>
          <a:off x="41243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1" name="Testo 6"/>
        <xdr:cNvSpPr txBox="1">
          <a:spLocks noChangeArrowheads="1"/>
        </xdr:cNvSpPr>
      </xdr:nvSpPr>
      <xdr:spPr>
        <a:xfrm>
          <a:off x="470535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5038725" y="8191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457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38100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9650" y="1200150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4578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4578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733425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0015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457825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9650" y="5000625"/>
          <a:ext cx="444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457825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457825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457825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457825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733425</xdr:colOff>
      <xdr:row>25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500062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H7" sqref="H7"/>
    </sheetView>
  </sheetViews>
  <sheetFormatPr defaultColWidth="8.66015625" defaultRowHeight="20.25"/>
  <cols>
    <col min="1" max="1" width="21.41015625" style="1" customWidth="1"/>
    <col min="2" max="3" width="7.66015625" style="1" customWidth="1"/>
    <col min="4" max="16384" width="8.83203125" style="1" customWidth="1"/>
  </cols>
  <sheetData>
    <row r="1" ht="24.75" customHeight="1">
      <c r="A1" s="8" t="s">
        <v>82</v>
      </c>
    </row>
    <row r="2" spans="1:4" ht="49.5" customHeight="1">
      <c r="A2" s="34" t="s">
        <v>81</v>
      </c>
      <c r="B2" s="15" t="s">
        <v>15</v>
      </c>
      <c r="C2" s="15" t="s">
        <v>16</v>
      </c>
      <c r="D2" s="15">
        <v>2008</v>
      </c>
    </row>
    <row r="3" spans="1:4" ht="19.5" customHeight="1">
      <c r="A3" s="43" t="s">
        <v>80</v>
      </c>
      <c r="B3" s="43"/>
      <c r="C3" s="43"/>
      <c r="D3" s="43"/>
    </row>
    <row r="4" spans="1:3" ht="19.5" customHeight="1">
      <c r="A4" s="32"/>
      <c r="B4" s="32"/>
      <c r="C4" s="32"/>
    </row>
    <row r="5" spans="1:4" ht="12.75" customHeight="1">
      <c r="A5" s="7" t="s">
        <v>63</v>
      </c>
      <c r="B5" s="12">
        <f>'tav4.7 OK'!B5+'tav4.7 OK'!B26</f>
        <v>11772</v>
      </c>
      <c r="C5" s="12">
        <f>'tav4.7 OK'!C5+'tav4.7 OK'!C26</f>
        <v>12190</v>
      </c>
      <c r="D5" s="12">
        <f>'tav4.7 OK'!D5+'tav4.7 OK'!D26</f>
        <v>12177</v>
      </c>
    </row>
    <row r="6" spans="1:3" ht="12.75" customHeight="1">
      <c r="A6" s="33" t="s">
        <v>64</v>
      </c>
      <c r="B6" s="12"/>
      <c r="C6" s="12"/>
    </row>
    <row r="7" spans="1:4" ht="12.75" customHeight="1">
      <c r="A7" s="26" t="s">
        <v>65</v>
      </c>
      <c r="B7" s="27">
        <f>'tav4.7 OK'!B7+'tav4.7 OK'!B28</f>
        <v>587</v>
      </c>
      <c r="C7" s="27">
        <f>'tav4.7 OK'!C7+'tav4.7 OK'!C28</f>
        <v>674</v>
      </c>
      <c r="D7" s="27">
        <f>'tav4.7 OK'!D7+'tav4.7 OK'!D28</f>
        <v>620</v>
      </c>
    </row>
    <row r="8" spans="1:4" ht="12.75" customHeight="1">
      <c r="A8" s="26" t="s">
        <v>66</v>
      </c>
      <c r="B8" s="27">
        <f>'tav4.7 OK'!B8+'tav4.7 OK'!B29</f>
        <v>1403</v>
      </c>
      <c r="C8" s="27">
        <f>'tav4.7 OK'!C8+'tav4.7 OK'!C29</f>
        <v>1407</v>
      </c>
      <c r="D8" s="27">
        <f>'tav4.7 OK'!D8+'tav4.7 OK'!D29</f>
        <v>1374</v>
      </c>
    </row>
    <row r="9" spans="1:4" ht="12.75" customHeight="1">
      <c r="A9" s="26" t="s">
        <v>67</v>
      </c>
      <c r="B9" s="27">
        <f>'tav4.7 OK'!B9+'tav4.7 OK'!B30</f>
        <v>2250</v>
      </c>
      <c r="C9" s="27">
        <f>'tav4.7 OK'!C9+'tav4.7 OK'!C30</f>
        <v>2340</v>
      </c>
      <c r="D9" s="27">
        <f>'tav4.7 OK'!D9+'tav4.7 OK'!D30</f>
        <v>2372</v>
      </c>
    </row>
    <row r="10" spans="1:4" ht="15" customHeight="1">
      <c r="A10" s="26" t="s">
        <v>68</v>
      </c>
      <c r="B10" s="27">
        <v>818</v>
      </c>
      <c r="C10" s="27">
        <v>923</v>
      </c>
      <c r="D10" s="27">
        <v>894</v>
      </c>
    </row>
    <row r="11" spans="1:3" ht="15" customHeight="1">
      <c r="A11" s="26"/>
      <c r="B11" s="12"/>
      <c r="C11" s="12"/>
    </row>
    <row r="12" spans="1:4" ht="12.75" customHeight="1">
      <c r="A12" s="7" t="s">
        <v>69</v>
      </c>
      <c r="B12" s="12">
        <f>'tav4.7 OK'!B12+'tav4.7 OK'!B33</f>
        <v>2623</v>
      </c>
      <c r="C12" s="12">
        <f>'tav4.7 OK'!C12+'tav4.7 OK'!C33</f>
        <v>2563</v>
      </c>
      <c r="D12" s="12">
        <f>'tav4.7 OK'!D12+'tav4.7 OK'!D33</f>
        <v>2599</v>
      </c>
    </row>
    <row r="13" spans="1:4" ht="12.75" customHeight="1">
      <c r="A13" s="7" t="s">
        <v>70</v>
      </c>
      <c r="B13" s="12">
        <f>'tav4.7 OK'!B13+'tav4.7 OK'!B34</f>
        <v>1484</v>
      </c>
      <c r="C13" s="12">
        <f>'tav4.7 OK'!C13+'tav4.7 OK'!C34</f>
        <v>1516</v>
      </c>
      <c r="D13" s="12">
        <f>'tav4.7 OK'!D13+'tav4.7 OK'!D34</f>
        <v>1429</v>
      </c>
    </row>
    <row r="14" spans="1:4" ht="12.75" customHeight="1">
      <c r="A14" s="7" t="s">
        <v>71</v>
      </c>
      <c r="B14" s="12">
        <f>'tav4.7 OK'!B14+'tav4.7 OK'!B35</f>
        <v>19411</v>
      </c>
      <c r="C14" s="12">
        <f>'tav4.7 OK'!C14+'tav4.7 OK'!C35</f>
        <v>20099</v>
      </c>
      <c r="D14" s="12">
        <f>'tav4.7 OK'!D14+'tav4.7 OK'!D35</f>
        <v>19774</v>
      </c>
    </row>
    <row r="15" spans="1:4" ht="12.75" customHeight="1">
      <c r="A15" s="26" t="s">
        <v>77</v>
      </c>
      <c r="B15" s="27">
        <f>'tav4.7 OK'!B15+'tav4.7 OK'!B36</f>
        <v>5383</v>
      </c>
      <c r="C15" s="27">
        <f>'tav4.7 OK'!C15+'tav4.7 OK'!C36</f>
        <v>5520</v>
      </c>
      <c r="D15" s="27">
        <f>'tav4.7 OK'!D15+'tav4.7 OK'!D36</f>
        <v>5541</v>
      </c>
    </row>
    <row r="16" spans="1:4" ht="12.75" customHeight="1">
      <c r="A16" s="26" t="s">
        <v>78</v>
      </c>
      <c r="B16" s="27">
        <f>'tav4.7 OK'!B16+'tav4.7 OK'!B37</f>
        <v>3517</v>
      </c>
      <c r="C16" s="27">
        <f>'tav4.7 OK'!C16+'tav4.7 OK'!C37</f>
        <v>3497</v>
      </c>
      <c r="D16" s="27">
        <f>'tav4.7 OK'!D16+'tav4.7 OK'!D37</f>
        <v>3337</v>
      </c>
    </row>
    <row r="17" spans="1:4" ht="12.75" customHeight="1">
      <c r="A17" s="26" t="s">
        <v>79</v>
      </c>
      <c r="B17" s="27">
        <f>'tav4.7 OK'!B17+'tav4.7 OK'!B38</f>
        <v>6493</v>
      </c>
      <c r="C17" s="27">
        <f>'tav4.7 OK'!C17+'tav4.7 OK'!C38</f>
        <v>6854</v>
      </c>
      <c r="D17" s="27">
        <f>'tav4.7 OK'!D17+'tav4.7 OK'!D38</f>
        <v>6652</v>
      </c>
    </row>
    <row r="18" spans="1:4" ht="12.75" customHeight="1">
      <c r="A18" s="7" t="s">
        <v>72</v>
      </c>
      <c r="B18" s="12">
        <f>'tav4.7 OK'!B18+'tav4.7 OK'!B39</f>
        <v>2851</v>
      </c>
      <c r="C18" s="12">
        <f>'tav4.7 OK'!C18+'tav4.7 OK'!C39</f>
        <v>3056</v>
      </c>
      <c r="D18" s="12">
        <f>'tav4.7 OK'!D18+'tav4.7 OK'!D39</f>
        <v>2772</v>
      </c>
    </row>
    <row r="19" spans="1:4" ht="12.75" customHeight="1">
      <c r="A19" s="7" t="s">
        <v>72</v>
      </c>
      <c r="B19" s="12">
        <f>'tav4.7 OK'!B19+'tav4.7 OK'!B40</f>
        <v>1608</v>
      </c>
      <c r="C19" s="12">
        <f>'tav4.7 OK'!C19+'tav4.7 OK'!C40</f>
        <v>1677</v>
      </c>
      <c r="D19" s="12">
        <f>'tav4.7 OK'!D19+'tav4.7 OK'!D40</f>
        <v>1706</v>
      </c>
    </row>
    <row r="20" spans="1:4" ht="12.75" customHeight="1">
      <c r="A20" s="7" t="s">
        <v>73</v>
      </c>
      <c r="B20" s="12">
        <f>'tav4.7 OK'!B20+'tav4.7 OK'!B41</f>
        <v>3292</v>
      </c>
      <c r="C20" s="12">
        <f>'tav4.7 OK'!C20+'tav4.7 OK'!C41</f>
        <v>3324</v>
      </c>
      <c r="D20" s="12">
        <f>'tav4.7 OK'!D20+'tav4.7 OK'!D41</f>
        <v>3323</v>
      </c>
    </row>
    <row r="21" spans="1:4" ht="12.75" customHeight="1">
      <c r="A21" s="7" t="s">
        <v>74</v>
      </c>
      <c r="B21" s="12">
        <f>'tav4.7 OK'!B21+'tav4.7 OK'!B42</f>
        <v>2811</v>
      </c>
      <c r="C21" s="12">
        <f>'tav4.7 OK'!C21+'tav4.7 OK'!C42</f>
        <v>3148</v>
      </c>
      <c r="D21" s="12">
        <f>'tav4.7 OK'!D21+'tav4.7 OK'!D42</f>
        <v>3540</v>
      </c>
    </row>
    <row r="22" spans="1:4" s="10" customFormat="1" ht="19.5" customHeight="1">
      <c r="A22" s="10" t="s">
        <v>50</v>
      </c>
      <c r="B22" s="37">
        <f>'tav4.7 OK'!B22+'tav4.7 OK'!B43</f>
        <v>45852</v>
      </c>
      <c r="C22" s="37">
        <f>'tav4.7 OK'!C22+'tav4.7 OK'!C43</f>
        <v>47573</v>
      </c>
      <c r="D22" s="37">
        <f>'tav4.7 OK'!D22+'tav4.7 OK'!D43</f>
        <v>47320</v>
      </c>
    </row>
    <row r="23" spans="1:4" ht="12.75" customHeight="1">
      <c r="A23" s="11"/>
      <c r="B23" s="21"/>
      <c r="C23" s="21"/>
      <c r="D23" s="21"/>
    </row>
    <row r="24" spans="1:3" ht="12.75" customHeight="1">
      <c r="A24" s="7" t="s">
        <v>32</v>
      </c>
      <c r="B24" s="7"/>
      <c r="C24" s="7"/>
    </row>
    <row r="25" spans="1:3" s="5" customFormat="1" ht="12.75" customHeight="1">
      <c r="A25" s="1"/>
      <c r="B25" s="1"/>
      <c r="C25" s="1"/>
    </row>
    <row r="26" spans="1:3" s="5" customFormat="1" ht="24" customHeight="1">
      <c r="A26" s="1"/>
      <c r="B26" s="1"/>
      <c r="C26" s="1"/>
    </row>
    <row r="28" ht="13.5" customHeight="1"/>
    <row r="30" spans="1:3" ht="12.75">
      <c r="A30" s="7"/>
      <c r="B30" s="7"/>
      <c r="C30" s="7"/>
    </row>
  </sheetData>
  <sheetProtection/>
  <mergeCells count="1"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H29" sqref="H29"/>
    </sheetView>
  </sheetViews>
  <sheetFormatPr defaultColWidth="8.66015625" defaultRowHeight="20.25"/>
  <cols>
    <col min="1" max="1" width="25.58203125" style="1" customWidth="1"/>
    <col min="2" max="4" width="7.66015625" style="1" customWidth="1"/>
    <col min="5" max="16384" width="8.83203125" style="1" customWidth="1"/>
  </cols>
  <sheetData>
    <row r="1" ht="24.75" customHeight="1">
      <c r="A1" s="8" t="s">
        <v>61</v>
      </c>
    </row>
    <row r="2" spans="1:4" ht="49.5" customHeight="1">
      <c r="A2" s="34" t="s">
        <v>62</v>
      </c>
      <c r="B2" s="15" t="s">
        <v>15</v>
      </c>
      <c r="C2" s="15" t="s">
        <v>16</v>
      </c>
      <c r="D2" s="15" t="s">
        <v>17</v>
      </c>
    </row>
    <row r="3" spans="1:4" ht="19.5" customHeight="1">
      <c r="A3" s="43" t="s">
        <v>75</v>
      </c>
      <c r="B3" s="43"/>
      <c r="C3" s="43"/>
      <c r="D3" s="43"/>
    </row>
    <row r="4" spans="1:3" ht="19.5" customHeight="1">
      <c r="A4" s="32"/>
      <c r="B4" s="32"/>
      <c r="C4" s="32"/>
    </row>
    <row r="5" spans="1:6" ht="12.75" customHeight="1">
      <c r="A5" s="7" t="s">
        <v>63</v>
      </c>
      <c r="B5" s="12">
        <v>6694</v>
      </c>
      <c r="C5" s="12">
        <v>7028</v>
      </c>
      <c r="D5" s="12">
        <v>7064</v>
      </c>
      <c r="E5" s="12"/>
      <c r="F5" s="12"/>
    </row>
    <row r="6" spans="1:4" ht="12.75" customHeight="1">
      <c r="A6" s="33" t="s">
        <v>64</v>
      </c>
      <c r="C6" s="12"/>
      <c r="D6" s="12"/>
    </row>
    <row r="7" spans="1:6" ht="12.75" customHeight="1">
      <c r="A7" s="26" t="s">
        <v>65</v>
      </c>
      <c r="B7" s="35">
        <v>362</v>
      </c>
      <c r="C7" s="27">
        <v>399</v>
      </c>
      <c r="D7" s="27">
        <v>365</v>
      </c>
      <c r="E7" s="27"/>
      <c r="F7" s="27"/>
    </row>
    <row r="8" spans="1:6" ht="12.75" customHeight="1">
      <c r="A8" s="26" t="s">
        <v>66</v>
      </c>
      <c r="B8" s="35">
        <f>554+181</f>
        <v>735</v>
      </c>
      <c r="C8" s="27">
        <f>572+156</f>
        <v>728</v>
      </c>
      <c r="D8" s="27">
        <v>756</v>
      </c>
      <c r="E8" s="27"/>
      <c r="F8" s="27"/>
    </row>
    <row r="9" spans="1:6" ht="12.75" customHeight="1">
      <c r="A9" s="26" t="s">
        <v>67</v>
      </c>
      <c r="B9" s="27">
        <v>1827</v>
      </c>
      <c r="C9" s="27">
        <v>1931</v>
      </c>
      <c r="D9" s="27">
        <v>1900</v>
      </c>
      <c r="E9" s="27"/>
      <c r="F9" s="27"/>
    </row>
    <row r="10" spans="1:6" ht="17.25" customHeight="1">
      <c r="A10" s="26" t="s">
        <v>68</v>
      </c>
      <c r="B10" s="27" t="s">
        <v>12</v>
      </c>
      <c r="C10" s="27" t="s">
        <v>12</v>
      </c>
      <c r="D10" s="36" t="s">
        <v>12</v>
      </c>
      <c r="E10" s="27"/>
      <c r="F10" s="27"/>
    </row>
    <row r="11" spans="1:6" ht="19.5" customHeight="1">
      <c r="A11" s="26"/>
      <c r="B11" s="27"/>
      <c r="C11" s="12"/>
      <c r="E11" s="27"/>
      <c r="F11" s="27"/>
    </row>
    <row r="12" spans="1:6" ht="12.75" customHeight="1">
      <c r="A12" s="7" t="s">
        <v>69</v>
      </c>
      <c r="B12" s="12">
        <v>1064</v>
      </c>
      <c r="C12" s="12">
        <v>1055</v>
      </c>
      <c r="D12" s="12">
        <v>1095</v>
      </c>
      <c r="E12" s="12"/>
      <c r="F12" s="12"/>
    </row>
    <row r="13" spans="1:6" ht="12.75" customHeight="1">
      <c r="A13" s="7" t="s">
        <v>70</v>
      </c>
      <c r="B13" s="12">
        <v>733</v>
      </c>
      <c r="C13" s="12">
        <v>679</v>
      </c>
      <c r="D13" s="12">
        <v>650</v>
      </c>
      <c r="E13" s="12"/>
      <c r="F13" s="12"/>
    </row>
    <row r="14" spans="1:6" ht="12.75" customHeight="1">
      <c r="A14" s="7" t="s">
        <v>71</v>
      </c>
      <c r="B14" s="12">
        <v>8815</v>
      </c>
      <c r="C14" s="12">
        <v>8939</v>
      </c>
      <c r="D14" s="12">
        <v>8945</v>
      </c>
      <c r="E14" s="12"/>
      <c r="F14" s="12"/>
    </row>
    <row r="15" spans="1:6" ht="12.75" customHeight="1">
      <c r="A15" s="26" t="s">
        <v>77</v>
      </c>
      <c r="B15" s="27">
        <v>2978</v>
      </c>
      <c r="C15" s="27">
        <v>2999</v>
      </c>
      <c r="D15" s="27">
        <v>2993</v>
      </c>
      <c r="E15" s="27"/>
      <c r="F15" s="27"/>
    </row>
    <row r="16" spans="1:6" ht="12.75" customHeight="1">
      <c r="A16" s="26" t="s">
        <v>78</v>
      </c>
      <c r="B16" s="27">
        <v>1510</v>
      </c>
      <c r="C16" s="27">
        <v>1526</v>
      </c>
      <c r="D16" s="27">
        <v>1506</v>
      </c>
      <c r="E16" s="27"/>
      <c r="F16" s="27"/>
    </row>
    <row r="17" spans="1:6" ht="12.75" customHeight="1">
      <c r="A17" s="26" t="s">
        <v>79</v>
      </c>
      <c r="B17" s="27">
        <v>2693</v>
      </c>
      <c r="C17" s="27">
        <v>2733</v>
      </c>
      <c r="D17" s="27">
        <v>2758</v>
      </c>
      <c r="E17" s="27"/>
      <c r="F17" s="27"/>
    </row>
    <row r="18" spans="1:6" ht="12.75" customHeight="1">
      <c r="A18" s="7" t="s">
        <v>72</v>
      </c>
      <c r="B18" s="12">
        <v>1767</v>
      </c>
      <c r="C18" s="12">
        <v>1930</v>
      </c>
      <c r="D18" s="12">
        <v>1785</v>
      </c>
      <c r="E18" s="12"/>
      <c r="F18" s="12"/>
    </row>
    <row r="19" spans="1:6" ht="12.75" customHeight="1">
      <c r="A19" s="7" t="s">
        <v>72</v>
      </c>
      <c r="B19" s="12">
        <v>853</v>
      </c>
      <c r="C19" s="12">
        <v>908</v>
      </c>
      <c r="D19" s="12">
        <v>880</v>
      </c>
      <c r="E19" s="12"/>
      <c r="F19" s="12"/>
    </row>
    <row r="20" spans="1:6" ht="12.75" customHeight="1">
      <c r="A20" s="7" t="s">
        <v>73</v>
      </c>
      <c r="B20" s="12">
        <v>1899</v>
      </c>
      <c r="C20" s="12">
        <v>1944</v>
      </c>
      <c r="D20" s="12">
        <v>1967</v>
      </c>
      <c r="E20" s="12"/>
      <c r="F20" s="12"/>
    </row>
    <row r="21" spans="1:6" ht="12.75" customHeight="1">
      <c r="A21" s="7" t="s">
        <v>74</v>
      </c>
      <c r="B21" s="12">
        <f>B22-(B5+B12+B13+B14+B18+B19+B20)</f>
        <v>1039</v>
      </c>
      <c r="C21" s="12">
        <f>C22-(C5+C12+C13+C14+C18+C19+C20)</f>
        <v>1116</v>
      </c>
      <c r="D21" s="12">
        <f>D22-(D5+D12+D13+D14+D18+D19+D20)</f>
        <v>1276</v>
      </c>
      <c r="E21" s="12"/>
      <c r="F21" s="12"/>
    </row>
    <row r="22" spans="1:15" s="10" customFormat="1" ht="19.5" customHeight="1">
      <c r="A22" s="10" t="s">
        <v>50</v>
      </c>
      <c r="B22" s="37">
        <v>22864</v>
      </c>
      <c r="C22" s="37">
        <v>23599</v>
      </c>
      <c r="D22" s="37">
        <v>23662</v>
      </c>
      <c r="E22" s="12"/>
      <c r="F22" s="12"/>
      <c r="G22" s="1"/>
      <c r="H22" s="1"/>
      <c r="I22" s="1"/>
      <c r="J22" s="1"/>
      <c r="K22" s="1"/>
      <c r="L22" s="1"/>
      <c r="M22" s="1"/>
      <c r="N22" s="1"/>
      <c r="O22" s="1"/>
    </row>
    <row r="23" spans="1:15" s="10" customFormat="1" ht="19.5" customHeight="1">
      <c r="A23" s="7"/>
      <c r="B23" s="12"/>
      <c r="C23" s="12"/>
      <c r="D23" s="1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</row>
    <row r="24" spans="1:4" ht="12.75" customHeight="1">
      <c r="A24" s="44" t="s">
        <v>76</v>
      </c>
      <c r="B24" s="44"/>
      <c r="C24" s="44"/>
      <c r="D24" s="44"/>
    </row>
    <row r="25" spans="1:3" ht="12.75" customHeight="1">
      <c r="A25" s="32"/>
      <c r="B25" s="32"/>
      <c r="C25" s="32"/>
    </row>
    <row r="26" spans="1:4" ht="12.75" customHeight="1">
      <c r="A26" s="7" t="s">
        <v>63</v>
      </c>
      <c r="B26" s="12">
        <v>5078</v>
      </c>
      <c r="C26" s="12">
        <v>5162</v>
      </c>
      <c r="D26" s="12">
        <v>5113</v>
      </c>
    </row>
    <row r="27" spans="1:15" s="5" customFormat="1" ht="12.75" customHeight="1">
      <c r="A27" s="33" t="s">
        <v>64</v>
      </c>
      <c r="B27" s="1"/>
      <c r="C27" s="12"/>
      <c r="D27" s="1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5" customFormat="1" ht="11.25" customHeight="1">
      <c r="A28" s="26" t="s">
        <v>65</v>
      </c>
      <c r="B28" s="27">
        <v>225</v>
      </c>
      <c r="C28" s="27">
        <v>275</v>
      </c>
      <c r="D28" s="27">
        <v>255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4" ht="12.75">
      <c r="A29" s="26" t="s">
        <v>66</v>
      </c>
      <c r="B29" s="27">
        <v>668</v>
      </c>
      <c r="C29" s="27">
        <v>679</v>
      </c>
      <c r="D29" s="27">
        <v>618</v>
      </c>
    </row>
    <row r="30" spans="1:4" ht="13.5" customHeight="1">
      <c r="A30" s="26" t="s">
        <v>67</v>
      </c>
      <c r="B30" s="27">
        <v>423</v>
      </c>
      <c r="C30" s="27">
        <v>409</v>
      </c>
      <c r="D30" s="27">
        <v>472</v>
      </c>
    </row>
    <row r="31" spans="1:4" ht="12.75">
      <c r="A31" s="26" t="s">
        <v>68</v>
      </c>
      <c r="B31" s="27">
        <v>818</v>
      </c>
      <c r="C31" s="27">
        <v>923</v>
      </c>
      <c r="D31" s="27">
        <v>894</v>
      </c>
    </row>
    <row r="32" spans="1:4" ht="12.75">
      <c r="A32" s="26"/>
      <c r="B32" s="12"/>
      <c r="C32" s="12"/>
      <c r="D32" s="12"/>
    </row>
    <row r="33" spans="1:4" ht="12.75">
      <c r="A33" s="7" t="s">
        <v>69</v>
      </c>
      <c r="B33" s="12">
        <v>1559</v>
      </c>
      <c r="C33" s="12">
        <v>1508</v>
      </c>
      <c r="D33" s="12">
        <v>1504</v>
      </c>
    </row>
    <row r="34" spans="1:4" ht="12.75">
      <c r="A34" s="7" t="s">
        <v>70</v>
      </c>
      <c r="B34" s="12">
        <v>751</v>
      </c>
      <c r="C34" s="12">
        <v>837</v>
      </c>
      <c r="D34" s="12">
        <v>779</v>
      </c>
    </row>
    <row r="35" spans="1:4" ht="12.75">
      <c r="A35" s="7" t="s">
        <v>71</v>
      </c>
      <c r="B35" s="12">
        <v>10596</v>
      </c>
      <c r="C35" s="12">
        <v>11160</v>
      </c>
      <c r="D35" s="12">
        <v>10829</v>
      </c>
    </row>
    <row r="36" spans="1:4" ht="12.75">
      <c r="A36" s="26" t="s">
        <v>77</v>
      </c>
      <c r="B36" s="27">
        <v>2405</v>
      </c>
      <c r="C36" s="27">
        <v>2521</v>
      </c>
      <c r="D36" s="27">
        <v>2548</v>
      </c>
    </row>
    <row r="37" spans="1:4" ht="12.75">
      <c r="A37" s="26" t="s">
        <v>78</v>
      </c>
      <c r="B37" s="27">
        <v>2007</v>
      </c>
      <c r="C37" s="27">
        <v>1971</v>
      </c>
      <c r="D37" s="27">
        <v>1831</v>
      </c>
    </row>
    <row r="38" spans="1:4" ht="12.75">
      <c r="A38" s="26" t="s">
        <v>79</v>
      </c>
      <c r="B38" s="27">
        <v>3800</v>
      </c>
      <c r="C38" s="27">
        <v>4121</v>
      </c>
      <c r="D38" s="27">
        <v>3894</v>
      </c>
    </row>
    <row r="39" spans="1:4" ht="12.75">
      <c r="A39" s="7" t="s">
        <v>72</v>
      </c>
      <c r="B39" s="12">
        <v>1084</v>
      </c>
      <c r="C39" s="12">
        <v>1126</v>
      </c>
      <c r="D39" s="12">
        <v>987</v>
      </c>
    </row>
    <row r="40" spans="1:4" ht="12.75">
      <c r="A40" s="7" t="s">
        <v>72</v>
      </c>
      <c r="B40" s="12">
        <v>755</v>
      </c>
      <c r="C40" s="12">
        <v>769</v>
      </c>
      <c r="D40" s="12">
        <v>826</v>
      </c>
    </row>
    <row r="41" spans="1:4" ht="12.75">
      <c r="A41" s="7" t="s">
        <v>73</v>
      </c>
      <c r="B41" s="12">
        <v>1393</v>
      </c>
      <c r="C41" s="12">
        <v>1380</v>
      </c>
      <c r="D41" s="12">
        <v>1356</v>
      </c>
    </row>
    <row r="42" spans="1:4" ht="12.75">
      <c r="A42" s="7" t="s">
        <v>74</v>
      </c>
      <c r="B42" s="12">
        <f>B43-(B26+B33+B34+B35+B39+B40+B41)</f>
        <v>1772</v>
      </c>
      <c r="C42" s="12">
        <f>C43-(C26+C33+C34+C35+C39+C40+C41)</f>
        <v>2032</v>
      </c>
      <c r="D42" s="12">
        <f>D43-(D26+D33+D34+D35+D39+D40+D41)</f>
        <v>2264</v>
      </c>
    </row>
    <row r="43" spans="1:4" ht="12.75">
      <c r="A43" s="10" t="s">
        <v>50</v>
      </c>
      <c r="B43" s="37">
        <v>22988</v>
      </c>
      <c r="C43" s="37">
        <v>23974</v>
      </c>
      <c r="D43" s="37">
        <v>23658</v>
      </c>
    </row>
    <row r="44" spans="1:4" ht="12.75">
      <c r="A44" s="11"/>
      <c r="B44" s="21"/>
      <c r="C44" s="21"/>
      <c r="D44" s="21"/>
    </row>
    <row r="45" spans="1:3" ht="12.75">
      <c r="A45" s="7" t="s">
        <v>32</v>
      </c>
      <c r="B45" s="7"/>
      <c r="C45" s="7"/>
    </row>
  </sheetData>
  <sheetProtection/>
  <mergeCells count="2">
    <mergeCell ref="A3:D3"/>
    <mergeCell ref="A24:D24"/>
  </mergeCells>
  <printOptions horizontalCentered="1" verticalCentered="1"/>
  <pageMargins left="0.7874015748031497" right="0.7874015748031497" top="0.6299212598425197" bottom="0.7086614173228347" header="0.5118110236220472" footer="0.5118110236220472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10" sqref="H10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60</v>
      </c>
      <c r="B1" s="2"/>
      <c r="C1" s="2"/>
      <c r="D1" s="2"/>
      <c r="E1" s="2"/>
      <c r="F1" s="2"/>
      <c r="G1" s="2"/>
    </row>
    <row r="2" spans="1:5" ht="19.5" customHeight="1">
      <c r="A2" s="2"/>
      <c r="B2" s="2"/>
      <c r="C2" s="2"/>
      <c r="D2" s="2"/>
      <c r="E2" s="3"/>
    </row>
    <row r="3" spans="1:7" ht="33.75" customHeight="1">
      <c r="A3" s="14"/>
      <c r="B3" s="15" t="s">
        <v>55</v>
      </c>
      <c r="C3" s="15" t="s">
        <v>9</v>
      </c>
      <c r="D3" s="15" t="s">
        <v>10</v>
      </c>
      <c r="E3" s="15" t="s">
        <v>11</v>
      </c>
      <c r="F3" s="15" t="s">
        <v>56</v>
      </c>
      <c r="G3" s="14" t="s">
        <v>50</v>
      </c>
    </row>
    <row r="4" spans="1:7" ht="19.5" customHeight="1">
      <c r="A4" s="43" t="s">
        <v>21</v>
      </c>
      <c r="B4" s="43"/>
      <c r="C4" s="43"/>
      <c r="D4" s="43"/>
      <c r="E4" s="43"/>
      <c r="F4" s="43"/>
      <c r="G4" s="43"/>
    </row>
    <row r="5" spans="1:7" ht="12.75" customHeight="1">
      <c r="A5" s="9" t="s">
        <v>14</v>
      </c>
      <c r="B5" s="18">
        <f>33+819</f>
        <v>852</v>
      </c>
      <c r="C5" s="18">
        <v>1566</v>
      </c>
      <c r="D5" s="18">
        <f>1636+1653</f>
        <v>3289</v>
      </c>
      <c r="E5" s="18">
        <f>1429+601</f>
        <v>2030</v>
      </c>
      <c r="F5" s="18">
        <v>59</v>
      </c>
      <c r="G5" s="18">
        <f>SUM(B5:F5)</f>
        <v>7796</v>
      </c>
    </row>
    <row r="6" spans="1:7" ht="12.75" customHeight="1">
      <c r="A6" s="9" t="s">
        <v>15</v>
      </c>
      <c r="B6" s="18">
        <f>SUM(B11:B19)</f>
        <v>846</v>
      </c>
      <c r="C6" s="18">
        <f>SUM(C11:C19)</f>
        <v>1452</v>
      </c>
      <c r="D6" s="18">
        <f>SUM(D11:D19)</f>
        <v>2938</v>
      </c>
      <c r="E6" s="18">
        <f>SUM(E11:E19)</f>
        <v>1939</v>
      </c>
      <c r="F6" s="18">
        <f>SUM(F11:F19)</f>
        <v>57</v>
      </c>
      <c r="G6" s="18">
        <f>SUM(B6:F6)</f>
        <v>7232</v>
      </c>
    </row>
    <row r="7" spans="1:7" ht="12.75" customHeight="1">
      <c r="A7" s="9" t="s">
        <v>16</v>
      </c>
      <c r="B7" s="18">
        <v>868</v>
      </c>
      <c r="C7" s="18">
        <v>1533</v>
      </c>
      <c r="D7" s="18">
        <f>1641+1670</f>
        <v>3311</v>
      </c>
      <c r="E7" s="18">
        <f>1409+585+0</f>
        <v>1994</v>
      </c>
      <c r="F7" s="18">
        <v>59</v>
      </c>
      <c r="G7" s="18">
        <f>SUM(B7:F7)</f>
        <v>7765</v>
      </c>
    </row>
    <row r="8" spans="1:7" ht="12.75" customHeight="1">
      <c r="A8" s="9" t="s">
        <v>17</v>
      </c>
      <c r="B8" s="18">
        <f>31+747</f>
        <v>778</v>
      </c>
      <c r="C8" s="18">
        <v>1500</v>
      </c>
      <c r="D8" s="18">
        <f>1432+1509</f>
        <v>2941</v>
      </c>
      <c r="E8" s="18">
        <f>1272+606</f>
        <v>1878</v>
      </c>
      <c r="F8" s="18">
        <f>55+1+4</f>
        <v>60</v>
      </c>
      <c r="G8" s="18">
        <f>SUM(B8:F8)</f>
        <v>7157</v>
      </c>
    </row>
    <row r="9" spans="1:7" ht="12.75" customHeight="1">
      <c r="A9" s="9" t="s">
        <v>19</v>
      </c>
      <c r="B9" s="18">
        <v>846</v>
      </c>
      <c r="C9" s="18">
        <v>1452</v>
      </c>
      <c r="D9" s="18">
        <f>1444+1494</f>
        <v>2938</v>
      </c>
      <c r="E9" s="18">
        <f>1360+579</f>
        <v>1939</v>
      </c>
      <c r="F9" s="18">
        <v>57</v>
      </c>
      <c r="G9" s="18">
        <f>SUM(B9:F9)</f>
        <v>7232</v>
      </c>
    </row>
    <row r="10" spans="1:7" ht="19.5" customHeight="1">
      <c r="A10" s="44" t="s">
        <v>57</v>
      </c>
      <c r="B10" s="44"/>
      <c r="C10" s="44"/>
      <c r="D10" s="44"/>
      <c r="E10" s="44"/>
      <c r="F10" s="44"/>
      <c r="G10" s="44"/>
    </row>
    <row r="11" spans="1:13" ht="12.75" customHeight="1">
      <c r="A11" s="7" t="s">
        <v>0</v>
      </c>
      <c r="B11" s="18">
        <v>65</v>
      </c>
      <c r="C11" s="18">
        <v>118</v>
      </c>
      <c r="D11" s="18">
        <f>71+108</f>
        <v>179</v>
      </c>
      <c r="E11" s="18">
        <v>150</v>
      </c>
      <c r="F11" s="18">
        <v>11</v>
      </c>
      <c r="G11" s="18">
        <f aca="true" t="shared" si="0" ref="G11:G19">SUM(B11:F11)</f>
        <v>523</v>
      </c>
      <c r="H11" s="18"/>
      <c r="I11" s="18"/>
      <c r="J11" s="18"/>
      <c r="K11" s="18"/>
      <c r="L11" s="18"/>
      <c r="M11" s="18"/>
    </row>
    <row r="12" spans="1:13" ht="12.75" customHeight="1">
      <c r="A12" s="7" t="s">
        <v>1</v>
      </c>
      <c r="B12" s="18">
        <v>49</v>
      </c>
      <c r="C12" s="18">
        <v>79</v>
      </c>
      <c r="D12" s="18">
        <f>71+85</f>
        <v>156</v>
      </c>
      <c r="E12" s="18">
        <f>59+26</f>
        <v>85</v>
      </c>
      <c r="F12" s="18">
        <v>2</v>
      </c>
      <c r="G12" s="18">
        <f t="shared" si="0"/>
        <v>371</v>
      </c>
      <c r="H12" s="18"/>
      <c r="I12" s="18"/>
      <c r="J12" s="18"/>
      <c r="K12" s="18"/>
      <c r="L12" s="18"/>
      <c r="M12" s="18"/>
    </row>
    <row r="13" spans="1:13" ht="12.75" customHeight="1">
      <c r="A13" s="7" t="s">
        <v>5</v>
      </c>
      <c r="B13" s="18">
        <f>7+177</f>
        <v>184</v>
      </c>
      <c r="C13" s="18">
        <v>311</v>
      </c>
      <c r="D13" s="18">
        <f>359+332</f>
        <v>691</v>
      </c>
      <c r="E13" s="18">
        <f>307+113</f>
        <v>420</v>
      </c>
      <c r="F13" s="18">
        <v>4</v>
      </c>
      <c r="G13" s="18">
        <f t="shared" si="0"/>
        <v>1610</v>
      </c>
      <c r="H13" s="18"/>
      <c r="I13" s="18"/>
      <c r="J13" s="18"/>
      <c r="K13" s="18"/>
      <c r="L13" s="18"/>
      <c r="M13" s="18"/>
    </row>
    <row r="14" spans="1:13" ht="12.75" customHeight="1">
      <c r="A14" s="7" t="s">
        <v>2</v>
      </c>
      <c r="B14" s="18">
        <v>20</v>
      </c>
      <c r="C14" s="18">
        <v>32</v>
      </c>
      <c r="D14" s="18">
        <f>44+34</f>
        <v>78</v>
      </c>
      <c r="E14" s="18">
        <v>60</v>
      </c>
      <c r="F14" s="18">
        <v>4</v>
      </c>
      <c r="G14" s="18">
        <f t="shared" si="0"/>
        <v>194</v>
      </c>
      <c r="H14" s="18"/>
      <c r="I14" s="18"/>
      <c r="J14" s="18"/>
      <c r="K14" s="18"/>
      <c r="L14" s="18"/>
      <c r="M14" s="18"/>
    </row>
    <row r="15" spans="1:13" ht="12.75" customHeight="1">
      <c r="A15" s="7" t="s">
        <v>3</v>
      </c>
      <c r="B15" s="18">
        <v>85</v>
      </c>
      <c r="C15" s="18">
        <v>157</v>
      </c>
      <c r="D15" s="18">
        <f>150+192</f>
        <v>342</v>
      </c>
      <c r="E15" s="18">
        <f>186+72</f>
        <v>258</v>
      </c>
      <c r="F15" s="18">
        <v>9</v>
      </c>
      <c r="G15" s="18">
        <f t="shared" si="0"/>
        <v>851</v>
      </c>
      <c r="H15" s="18"/>
      <c r="I15" s="18"/>
      <c r="J15" s="18"/>
      <c r="K15" s="18"/>
      <c r="L15" s="18"/>
      <c r="M15" s="18"/>
    </row>
    <row r="16" spans="1:13" ht="12.75" customHeight="1">
      <c r="A16" s="7" t="s">
        <v>4</v>
      </c>
      <c r="B16" s="18">
        <v>185</v>
      </c>
      <c r="C16" s="18">
        <v>383</v>
      </c>
      <c r="D16" s="18">
        <f>344+367</f>
        <v>711</v>
      </c>
      <c r="E16" s="18">
        <f>318+144</f>
        <v>462</v>
      </c>
      <c r="F16" s="18">
        <v>13</v>
      </c>
      <c r="G16" s="18">
        <f t="shared" si="0"/>
        <v>1754</v>
      </c>
      <c r="H16" s="18"/>
      <c r="I16" s="18"/>
      <c r="J16" s="18"/>
      <c r="K16" s="18"/>
      <c r="L16" s="18"/>
      <c r="M16" s="18"/>
    </row>
    <row r="17" spans="1:13" ht="12.75" customHeight="1">
      <c r="A17" s="7" t="s">
        <v>6</v>
      </c>
      <c r="B17" s="18">
        <v>74</v>
      </c>
      <c r="C17" s="18">
        <v>110</v>
      </c>
      <c r="D17" s="18">
        <v>210</v>
      </c>
      <c r="E17" s="18">
        <v>149</v>
      </c>
      <c r="F17" s="18">
        <v>4</v>
      </c>
      <c r="G17" s="18">
        <f t="shared" si="0"/>
        <v>547</v>
      </c>
      <c r="H17" s="18"/>
      <c r="I17" s="18"/>
      <c r="J17" s="18"/>
      <c r="K17" s="18"/>
      <c r="L17" s="18"/>
      <c r="M17" s="18"/>
    </row>
    <row r="18" spans="1:13" ht="12.75" customHeight="1">
      <c r="A18" s="7" t="s">
        <v>7</v>
      </c>
      <c r="B18" s="18">
        <v>120</v>
      </c>
      <c r="C18" s="18">
        <v>148</v>
      </c>
      <c r="D18" s="18">
        <f>177+164</f>
        <v>341</v>
      </c>
      <c r="E18" s="18">
        <f>139+56</f>
        <v>195</v>
      </c>
      <c r="F18" s="18">
        <v>5</v>
      </c>
      <c r="G18" s="18">
        <f t="shared" si="0"/>
        <v>809</v>
      </c>
      <c r="H18" s="18"/>
      <c r="I18" s="18"/>
      <c r="J18" s="18"/>
      <c r="K18" s="18"/>
      <c r="L18" s="18"/>
      <c r="M18" s="18"/>
    </row>
    <row r="19" spans="1:13" ht="12.75" customHeight="1">
      <c r="A19" s="7" t="s">
        <v>8</v>
      </c>
      <c r="B19" s="18">
        <v>64</v>
      </c>
      <c r="C19" s="18">
        <v>114</v>
      </c>
      <c r="D19" s="18">
        <f>119+111</f>
        <v>230</v>
      </c>
      <c r="E19" s="18">
        <f>111+49</f>
        <v>160</v>
      </c>
      <c r="F19" s="18">
        <v>5</v>
      </c>
      <c r="G19" s="18">
        <f t="shared" si="0"/>
        <v>573</v>
      </c>
      <c r="H19" s="18"/>
      <c r="I19" s="18"/>
      <c r="J19" s="18"/>
      <c r="K19" s="18"/>
      <c r="L19" s="18"/>
      <c r="M19" s="18"/>
    </row>
    <row r="20" spans="1:7" ht="19.5" customHeight="1">
      <c r="A20" s="44" t="s">
        <v>59</v>
      </c>
      <c r="B20" s="44"/>
      <c r="C20" s="44"/>
      <c r="D20" s="44"/>
      <c r="E20" s="44"/>
      <c r="F20" s="44"/>
      <c r="G20" s="44"/>
    </row>
    <row r="21" spans="1:13" ht="12.75" customHeight="1">
      <c r="A21" s="30" t="s">
        <v>22</v>
      </c>
      <c r="B21" s="18">
        <f>102+3273</f>
        <v>3375</v>
      </c>
      <c r="C21" s="18">
        <v>6677</v>
      </c>
      <c r="D21" s="18">
        <f>7163+7856</f>
        <v>15019</v>
      </c>
      <c r="E21" s="18">
        <f>9661+3281</f>
        <v>12942</v>
      </c>
      <c r="F21" s="18">
        <f>316+8+94</f>
        <v>418</v>
      </c>
      <c r="G21" s="18">
        <f>SUM(B21:F21)</f>
        <v>38431</v>
      </c>
      <c r="H21" s="18"/>
      <c r="I21" s="18"/>
      <c r="J21" s="18"/>
      <c r="K21" s="18"/>
      <c r="L21" s="18"/>
      <c r="M21" s="18"/>
    </row>
    <row r="22" spans="1:13" ht="12.75" customHeight="1">
      <c r="A22" s="7" t="s">
        <v>23</v>
      </c>
      <c r="B22" s="18">
        <f aca="true" t="shared" si="1" ref="B22:G22">B23-B21</f>
        <v>6088</v>
      </c>
      <c r="C22" s="18">
        <f t="shared" si="1"/>
        <v>12682</v>
      </c>
      <c r="D22" s="18">
        <f t="shared" si="1"/>
        <v>31272</v>
      </c>
      <c r="E22" s="18">
        <f t="shared" si="1"/>
        <v>19293</v>
      </c>
      <c r="F22" s="18">
        <f t="shared" si="1"/>
        <v>1343</v>
      </c>
      <c r="G22" s="18">
        <f t="shared" si="1"/>
        <v>70678</v>
      </c>
      <c r="H22" s="18"/>
      <c r="I22" s="18"/>
      <c r="J22" s="18"/>
      <c r="K22" s="18"/>
      <c r="L22" s="18"/>
      <c r="M22" s="18"/>
    </row>
    <row r="23" spans="1:13" s="5" customFormat="1" ht="12.75" customHeight="1">
      <c r="A23" s="7" t="s">
        <v>43</v>
      </c>
      <c r="B23" s="18">
        <f>233+9230</f>
        <v>9463</v>
      </c>
      <c r="C23" s="18">
        <v>19359</v>
      </c>
      <c r="D23" s="18">
        <f>21688+24603</f>
        <v>46291</v>
      </c>
      <c r="E23" s="18">
        <f>22224+10011</f>
        <v>32235</v>
      </c>
      <c r="F23" s="18">
        <f>932+24+805</f>
        <v>1761</v>
      </c>
      <c r="G23" s="18">
        <f>SUM(B23:F23)</f>
        <v>109109</v>
      </c>
      <c r="H23" s="18"/>
      <c r="I23" s="18"/>
      <c r="J23" s="18"/>
      <c r="K23" s="18"/>
      <c r="L23" s="18"/>
      <c r="M23" s="18"/>
    </row>
    <row r="24" spans="1:7" s="5" customFormat="1" ht="26.25" customHeight="1">
      <c r="A24" s="17" t="s">
        <v>42</v>
      </c>
      <c r="B24" s="23">
        <f>+B9/B23*100</f>
        <v>8.940082426291873</v>
      </c>
      <c r="C24" s="23">
        <f>+C7/C23*100</f>
        <v>7.918797458546413</v>
      </c>
      <c r="D24" s="23">
        <f>+D7/D23*100</f>
        <v>7.152578254952366</v>
      </c>
      <c r="E24" s="23">
        <f>+E7/E23*100</f>
        <v>6.185822863347293</v>
      </c>
      <c r="F24" s="23">
        <f>+F7/F23*100</f>
        <v>3.3503691084611016</v>
      </c>
      <c r="G24" s="23">
        <f>+G7/G23*100</f>
        <v>7.1167364745346395</v>
      </c>
    </row>
    <row r="25" spans="1:7" ht="12.75">
      <c r="A25" s="11"/>
      <c r="B25" s="6"/>
      <c r="C25" s="6"/>
      <c r="D25" s="6"/>
      <c r="E25" s="6"/>
      <c r="F25" s="6"/>
      <c r="G25" s="6"/>
    </row>
    <row r="26" spans="1:7" ht="17.25" customHeight="1">
      <c r="A26" s="7" t="s">
        <v>32</v>
      </c>
      <c r="B26" s="7"/>
      <c r="C26" s="7"/>
      <c r="D26" s="7"/>
      <c r="E26" s="7"/>
      <c r="F26" s="7"/>
      <c r="G26" s="7"/>
    </row>
    <row r="27" spans="1:3" ht="17.25" customHeight="1">
      <c r="A27" s="41" t="s">
        <v>58</v>
      </c>
      <c r="B27" s="42"/>
      <c r="C27" s="42"/>
    </row>
    <row r="28" ht="12.75">
      <c r="A28" s="1" t="s">
        <v>83</v>
      </c>
    </row>
    <row r="30" spans="2:7" ht="12.75">
      <c r="B30" s="18"/>
      <c r="C30" s="18"/>
      <c r="D30" s="18"/>
      <c r="E30" s="18"/>
      <c r="F30" s="18"/>
      <c r="G30" s="18"/>
    </row>
    <row r="31" spans="2:7" ht="12.75">
      <c r="B31" s="18"/>
      <c r="C31" s="18"/>
      <c r="D31" s="18"/>
      <c r="E31" s="18"/>
      <c r="F31" s="18"/>
      <c r="G31" s="18"/>
    </row>
    <row r="32" spans="2:7" ht="12.75">
      <c r="B32" s="18"/>
      <c r="C32" s="18"/>
      <c r="D32" s="18"/>
      <c r="E32" s="18"/>
      <c r="F32" s="18"/>
      <c r="G32" s="18"/>
    </row>
    <row r="33" spans="2:7" ht="12.75">
      <c r="B33" s="18"/>
      <c r="C33" s="18"/>
      <c r="D33" s="18"/>
      <c r="E33" s="18"/>
      <c r="F33" s="18"/>
      <c r="G33" s="18"/>
    </row>
    <row r="34" spans="2:7" ht="12.75">
      <c r="B34" s="18"/>
      <c r="C34" s="18"/>
      <c r="D34" s="18"/>
      <c r="E34" s="18"/>
      <c r="F34" s="18"/>
      <c r="G34" s="18"/>
    </row>
    <row r="35" spans="2:7" ht="12.75">
      <c r="B35" s="18"/>
      <c r="C35" s="18"/>
      <c r="D35" s="18"/>
      <c r="E35" s="18"/>
      <c r="F35" s="18"/>
      <c r="G35" s="18"/>
    </row>
    <row r="36" spans="2:7" ht="12.75">
      <c r="B36" s="18"/>
      <c r="C36" s="18"/>
      <c r="D36" s="18"/>
      <c r="E36" s="18"/>
      <c r="F36" s="18"/>
      <c r="G36" s="18"/>
    </row>
    <row r="37" spans="2:7" ht="12.75">
      <c r="B37" s="18"/>
      <c r="C37" s="18"/>
      <c r="D37" s="18"/>
      <c r="E37" s="18"/>
      <c r="F37" s="18"/>
      <c r="G37" s="18"/>
    </row>
    <row r="38" spans="2:7" ht="12.75">
      <c r="B38" s="18"/>
      <c r="C38" s="18"/>
      <c r="D38" s="18"/>
      <c r="E38" s="18"/>
      <c r="F38" s="18"/>
      <c r="G38" s="18"/>
    </row>
    <row r="39" spans="2:7" ht="12.75">
      <c r="B39" s="18"/>
      <c r="C39" s="18"/>
      <c r="D39" s="18"/>
      <c r="E39" s="18"/>
      <c r="F39" s="18"/>
      <c r="G39" s="18"/>
    </row>
    <row r="40" spans="2:7" ht="12.75">
      <c r="B40" s="18"/>
      <c r="C40" s="18"/>
      <c r="D40" s="18"/>
      <c r="E40" s="18"/>
      <c r="F40" s="18"/>
      <c r="G40" s="18"/>
    </row>
    <row r="41" spans="2:7" ht="12.75">
      <c r="B41" s="18"/>
      <c r="C41" s="18"/>
      <c r="D41" s="18"/>
      <c r="E41" s="18"/>
      <c r="F41" s="18"/>
      <c r="G41" s="18"/>
    </row>
    <row r="42" spans="2:7" ht="12.75">
      <c r="B42" s="18"/>
      <c r="C42" s="18"/>
      <c r="D42" s="18"/>
      <c r="E42" s="18"/>
      <c r="F42" s="18"/>
      <c r="G42" s="18"/>
    </row>
    <row r="43" spans="2:7" ht="12.75">
      <c r="B43" s="18"/>
      <c r="C43" s="18"/>
      <c r="D43" s="18"/>
      <c r="E43" s="18"/>
      <c r="F43" s="18"/>
      <c r="G43" s="18"/>
    </row>
    <row r="44" spans="2:7" ht="12.75">
      <c r="B44" s="18"/>
      <c r="C44" s="18"/>
      <c r="D44" s="18"/>
      <c r="E44" s="18"/>
      <c r="F44" s="18"/>
      <c r="G44" s="18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7 A8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16" sqref="J16"/>
    </sheetView>
  </sheetViews>
  <sheetFormatPr defaultColWidth="8.66015625" defaultRowHeight="20.25"/>
  <cols>
    <col min="1" max="1" width="8.5" style="1" customWidth="1"/>
    <col min="2" max="6" width="7.16015625" style="1" customWidth="1"/>
    <col min="7" max="7" width="7.5" style="1" customWidth="1"/>
    <col min="8" max="16384" width="8.83203125" style="1" customWidth="1"/>
  </cols>
  <sheetData>
    <row r="1" spans="1:7" ht="24.75" customHeight="1">
      <c r="A1" s="13" t="s">
        <v>54</v>
      </c>
      <c r="B1" s="2"/>
      <c r="C1" s="2"/>
      <c r="D1" s="2"/>
      <c r="E1" s="2"/>
      <c r="F1" s="2"/>
      <c r="G1" s="2"/>
    </row>
    <row r="2" spans="1:4" ht="19.5" customHeight="1">
      <c r="A2" s="2"/>
      <c r="B2" s="2"/>
      <c r="C2" s="2"/>
      <c r="D2" s="3"/>
    </row>
    <row r="3" spans="1:7" ht="33.75" customHeight="1">
      <c r="A3" s="14"/>
      <c r="B3" s="15" t="s">
        <v>55</v>
      </c>
      <c r="C3" s="15" t="s">
        <v>9</v>
      </c>
      <c r="D3" s="15" t="s">
        <v>10</v>
      </c>
      <c r="E3" s="15" t="s">
        <v>11</v>
      </c>
      <c r="F3" s="15" t="s">
        <v>56</v>
      </c>
      <c r="G3" s="14" t="s">
        <v>50</v>
      </c>
    </row>
    <row r="4" spans="1:7" ht="19.5" customHeight="1">
      <c r="A4" s="43" t="s">
        <v>21</v>
      </c>
      <c r="B4" s="43"/>
      <c r="C4" s="43"/>
      <c r="D4" s="43"/>
      <c r="E4" s="43"/>
      <c r="F4" s="43"/>
      <c r="G4" s="43"/>
    </row>
    <row r="5" spans="1:7" ht="12.75" customHeight="1">
      <c r="A5" s="9" t="s">
        <v>14</v>
      </c>
      <c r="B5" s="18">
        <v>851</v>
      </c>
      <c r="C5" s="18">
        <v>1523</v>
      </c>
      <c r="D5" s="18">
        <v>3307</v>
      </c>
      <c r="E5" s="18">
        <v>2063</v>
      </c>
      <c r="F5" s="18">
        <v>59</v>
      </c>
      <c r="G5" s="18">
        <f>SUM(B5:F5)</f>
        <v>7803</v>
      </c>
    </row>
    <row r="6" spans="1:7" ht="12.75" customHeight="1">
      <c r="A6" s="9" t="s">
        <v>15</v>
      </c>
      <c r="B6" s="18">
        <f>SUM(B11:B19)</f>
        <v>840</v>
      </c>
      <c r="C6" s="18">
        <f>SUM(C11:C19)</f>
        <v>1439</v>
      </c>
      <c r="D6" s="18">
        <f>SUM(D11:D19)</f>
        <v>2952</v>
      </c>
      <c r="E6" s="18">
        <f>SUM(E11:E19)</f>
        <v>1975</v>
      </c>
      <c r="F6" s="18">
        <f>SUM(F11:F19)</f>
        <v>55</v>
      </c>
      <c r="G6" s="18">
        <f>SUM(B6:F6)</f>
        <v>7261</v>
      </c>
    </row>
    <row r="7" spans="1:7" ht="12.75" customHeight="1">
      <c r="A7" s="9" t="s">
        <v>16</v>
      </c>
      <c r="B7" s="18">
        <v>863</v>
      </c>
      <c r="C7" s="18">
        <v>1510</v>
      </c>
      <c r="D7" s="18">
        <v>3341</v>
      </c>
      <c r="E7" s="18">
        <v>2016</v>
      </c>
      <c r="F7" s="18">
        <f>SUM(F12:F20)</f>
        <v>49</v>
      </c>
      <c r="G7" s="18">
        <f>SUM(B7:F7)</f>
        <v>7779</v>
      </c>
    </row>
    <row r="8" spans="1:7" ht="12.75" customHeight="1">
      <c r="A8" s="9" t="s">
        <v>17</v>
      </c>
      <c r="B8" s="18">
        <v>782</v>
      </c>
      <c r="C8" s="18">
        <v>1468</v>
      </c>
      <c r="D8" s="18">
        <f>1423+1512</f>
        <v>2935</v>
      </c>
      <c r="E8" s="18">
        <f>1276+608</f>
        <v>1884</v>
      </c>
      <c r="F8" s="18">
        <v>61</v>
      </c>
      <c r="G8" s="18">
        <f>SUM(B8:F8)</f>
        <v>7130</v>
      </c>
    </row>
    <row r="9" spans="1:7" ht="12.75" customHeight="1">
      <c r="A9" s="9" t="s">
        <v>19</v>
      </c>
      <c r="B9" s="18">
        <f>41+799</f>
        <v>840</v>
      </c>
      <c r="C9" s="18">
        <v>1439</v>
      </c>
      <c r="D9" s="18">
        <f>1441+1511</f>
        <v>2952</v>
      </c>
      <c r="E9" s="18">
        <f>1377+598</f>
        <v>1975</v>
      </c>
      <c r="F9" s="18">
        <v>55</v>
      </c>
      <c r="G9" s="18">
        <f>SUM(B9:F9)</f>
        <v>7261</v>
      </c>
    </row>
    <row r="10" spans="1:7" ht="19.5" customHeight="1">
      <c r="A10" s="44" t="s">
        <v>57</v>
      </c>
      <c r="B10" s="44"/>
      <c r="C10" s="44"/>
      <c r="D10" s="44"/>
      <c r="E10" s="44"/>
      <c r="F10" s="44"/>
      <c r="G10" s="44"/>
    </row>
    <row r="11" spans="1:7" ht="12.75" customHeight="1">
      <c r="A11" s="7" t="s">
        <v>0</v>
      </c>
      <c r="B11" s="18">
        <v>46</v>
      </c>
      <c r="C11" s="18">
        <v>63</v>
      </c>
      <c r="D11" s="18">
        <f>57+77</f>
        <v>134</v>
      </c>
      <c r="E11" s="18">
        <f>77+37</f>
        <v>114</v>
      </c>
      <c r="F11" s="18">
        <v>6</v>
      </c>
      <c r="G11" s="18">
        <f>SUM(B11:F11)</f>
        <v>363</v>
      </c>
    </row>
    <row r="12" spans="1:7" ht="12.75" customHeight="1">
      <c r="A12" s="7" t="s">
        <v>1</v>
      </c>
      <c r="B12" s="18">
        <v>51</v>
      </c>
      <c r="C12" s="18">
        <v>83</v>
      </c>
      <c r="D12" s="18">
        <f>79+98</f>
        <v>177</v>
      </c>
      <c r="E12" s="18">
        <f>75+35</f>
        <v>110</v>
      </c>
      <c r="F12" s="18">
        <v>2</v>
      </c>
      <c r="G12" s="18">
        <f aca="true" t="shared" si="0" ref="G12:G19">SUM(B12:F12)</f>
        <v>423</v>
      </c>
    </row>
    <row r="13" spans="1:7" ht="12.75" customHeight="1">
      <c r="A13" s="7" t="s">
        <v>5</v>
      </c>
      <c r="B13" s="18">
        <v>197</v>
      </c>
      <c r="C13" s="18">
        <v>322</v>
      </c>
      <c r="D13" s="18">
        <f>353+328</f>
        <v>681</v>
      </c>
      <c r="E13" s="18">
        <f>302+123</f>
        <v>425</v>
      </c>
      <c r="F13" s="18">
        <v>6</v>
      </c>
      <c r="G13" s="18">
        <f t="shared" si="0"/>
        <v>1631</v>
      </c>
    </row>
    <row r="14" spans="1:7" ht="12.75" customHeight="1">
      <c r="A14" s="7" t="s">
        <v>2</v>
      </c>
      <c r="B14" s="18">
        <v>8</v>
      </c>
      <c r="C14" s="18">
        <v>8</v>
      </c>
      <c r="D14" s="18">
        <f>14+16</f>
        <v>30</v>
      </c>
      <c r="E14" s="18">
        <v>18</v>
      </c>
      <c r="F14" s="18">
        <v>1</v>
      </c>
      <c r="G14" s="18">
        <f t="shared" si="0"/>
        <v>65</v>
      </c>
    </row>
    <row r="15" spans="1:7" ht="12.75" customHeight="1">
      <c r="A15" s="7" t="s">
        <v>3</v>
      </c>
      <c r="B15" s="18">
        <v>100</v>
      </c>
      <c r="C15" s="18">
        <v>180</v>
      </c>
      <c r="D15" s="18">
        <f>168+209</f>
        <v>377</v>
      </c>
      <c r="E15" s="18">
        <f>199+82</f>
        <v>281</v>
      </c>
      <c r="F15" s="18">
        <v>12</v>
      </c>
      <c r="G15" s="18">
        <f t="shared" si="0"/>
        <v>950</v>
      </c>
    </row>
    <row r="16" spans="1:7" ht="12.75" customHeight="1">
      <c r="A16" s="7" t="s">
        <v>4</v>
      </c>
      <c r="B16" s="18">
        <v>191</v>
      </c>
      <c r="C16" s="18">
        <v>397</v>
      </c>
      <c r="D16" s="18">
        <f>355+385</f>
        <v>740</v>
      </c>
      <c r="E16" s="18">
        <f>328+158</f>
        <v>486</v>
      </c>
      <c r="F16" s="18">
        <v>17</v>
      </c>
      <c r="G16" s="18">
        <f t="shared" si="0"/>
        <v>1831</v>
      </c>
    </row>
    <row r="17" spans="1:7" ht="12.75" customHeight="1">
      <c r="A17" s="7" t="s">
        <v>6</v>
      </c>
      <c r="B17" s="18">
        <v>83</v>
      </c>
      <c r="C17" s="18">
        <v>125</v>
      </c>
      <c r="D17" s="18">
        <f>129+127</f>
        <v>256</v>
      </c>
      <c r="E17" s="18">
        <f>119+57</f>
        <v>176</v>
      </c>
      <c r="F17" s="18">
        <v>4</v>
      </c>
      <c r="G17" s="18">
        <f t="shared" si="0"/>
        <v>644</v>
      </c>
    </row>
    <row r="18" spans="1:7" ht="12.75" customHeight="1">
      <c r="A18" s="7" t="s">
        <v>7</v>
      </c>
      <c r="B18" s="18">
        <v>110</v>
      </c>
      <c r="C18" s="18">
        <v>146</v>
      </c>
      <c r="D18" s="18">
        <f>173+155</f>
        <v>328</v>
      </c>
      <c r="E18" s="18">
        <v>195</v>
      </c>
      <c r="F18" s="18">
        <v>4</v>
      </c>
      <c r="G18" s="18">
        <f t="shared" si="0"/>
        <v>783</v>
      </c>
    </row>
    <row r="19" spans="1:7" ht="12.75" customHeight="1">
      <c r="A19" s="7" t="s">
        <v>8</v>
      </c>
      <c r="B19" s="18">
        <v>54</v>
      </c>
      <c r="C19" s="18">
        <v>115</v>
      </c>
      <c r="D19" s="18">
        <f>113+116</f>
        <v>229</v>
      </c>
      <c r="E19" s="18">
        <f>123+47</f>
        <v>170</v>
      </c>
      <c r="F19" s="18">
        <v>3</v>
      </c>
      <c r="G19" s="18">
        <f t="shared" si="0"/>
        <v>571</v>
      </c>
    </row>
    <row r="20" spans="1:7" ht="19.5" customHeight="1">
      <c r="A20" s="44" t="s">
        <v>59</v>
      </c>
      <c r="B20" s="44"/>
      <c r="C20" s="44"/>
      <c r="D20" s="44"/>
      <c r="E20" s="44"/>
      <c r="F20" s="44"/>
      <c r="G20" s="44"/>
    </row>
    <row r="21" spans="1:7" ht="12.75" customHeight="1">
      <c r="A21" s="7" t="s">
        <v>22</v>
      </c>
      <c r="B21" s="18">
        <f>105+3280</f>
        <v>3385</v>
      </c>
      <c r="C21" s="18">
        <v>6502</v>
      </c>
      <c r="D21" s="18">
        <f>6986+7802</f>
        <v>14788</v>
      </c>
      <c r="E21" s="18">
        <f>6976+3299</f>
        <v>10275</v>
      </c>
      <c r="F21" s="18">
        <f>319+8+84</f>
        <v>411</v>
      </c>
      <c r="G21" s="18">
        <v>38914</v>
      </c>
    </row>
    <row r="22" spans="1:7" ht="12.75" customHeight="1">
      <c r="A22" s="7" t="s">
        <v>23</v>
      </c>
      <c r="B22" s="18">
        <f aca="true" t="shared" si="1" ref="B22:G22">B23-B21</f>
        <v>6454</v>
      </c>
      <c r="C22" s="18">
        <f t="shared" si="1"/>
        <v>14448</v>
      </c>
      <c r="D22" s="18">
        <f t="shared" si="1"/>
        <v>34213</v>
      </c>
      <c r="E22" s="18">
        <f t="shared" si="1"/>
        <v>22869</v>
      </c>
      <c r="F22" s="18">
        <f t="shared" si="1"/>
        <v>1448</v>
      </c>
      <c r="G22" s="18">
        <f t="shared" si="1"/>
        <v>75879</v>
      </c>
    </row>
    <row r="23" spans="1:7" s="5" customFormat="1" ht="12.75" customHeight="1">
      <c r="A23" s="7" t="s">
        <v>43</v>
      </c>
      <c r="B23" s="18">
        <f>236+9603</f>
        <v>9839</v>
      </c>
      <c r="C23" s="18">
        <v>20950</v>
      </c>
      <c r="D23" s="18">
        <f>23302+25699</f>
        <v>49001</v>
      </c>
      <c r="E23" s="18">
        <f>22916+10228</f>
        <v>33144</v>
      </c>
      <c r="F23" s="18">
        <f>955+25+879</f>
        <v>1859</v>
      </c>
      <c r="G23" s="18">
        <f>B23+C23+D23+E23+F23</f>
        <v>114793</v>
      </c>
    </row>
    <row r="24" spans="1:7" s="5" customFormat="1" ht="26.25" customHeight="1">
      <c r="A24" s="17" t="s">
        <v>42</v>
      </c>
      <c r="B24" s="23">
        <f aca="true" t="shared" si="2" ref="B24:G24">+B9/B23*100</f>
        <v>8.537452993190364</v>
      </c>
      <c r="C24" s="23">
        <f t="shared" si="2"/>
        <v>6.868735083532219</v>
      </c>
      <c r="D24" s="23">
        <f t="shared" si="2"/>
        <v>6.024366849656129</v>
      </c>
      <c r="E24" s="23">
        <f t="shared" si="2"/>
        <v>5.958846246681149</v>
      </c>
      <c r="F24" s="23">
        <f t="shared" si="2"/>
        <v>2.9585798816568047</v>
      </c>
      <c r="G24" s="23">
        <f t="shared" si="2"/>
        <v>6.325298580923924</v>
      </c>
    </row>
    <row r="25" spans="1:7" ht="12.75">
      <c r="A25" s="11"/>
      <c r="B25" s="6"/>
      <c r="C25" s="6"/>
      <c r="D25" s="6"/>
      <c r="E25" s="6"/>
      <c r="F25" s="6"/>
      <c r="G25" s="6"/>
    </row>
    <row r="26" spans="1:7" ht="13.5" customHeight="1">
      <c r="A26" s="7" t="s">
        <v>32</v>
      </c>
      <c r="B26" s="7"/>
      <c r="C26" s="7"/>
      <c r="D26" s="7"/>
      <c r="E26" s="7"/>
      <c r="F26" s="7"/>
      <c r="G26" s="7"/>
    </row>
    <row r="27" spans="1:4" ht="21">
      <c r="A27" s="41" t="s">
        <v>58</v>
      </c>
      <c r="B27" s="42"/>
      <c r="C27" s="42"/>
      <c r="D27" s="42"/>
    </row>
    <row r="28" ht="12.75">
      <c r="A28" s="1" t="s">
        <v>83</v>
      </c>
    </row>
    <row r="30" spans="1:7" ht="12.75">
      <c r="A30" s="28"/>
      <c r="B30" s="18"/>
      <c r="C30" s="18"/>
      <c r="D30" s="18"/>
      <c r="E30" s="18"/>
      <c r="F30" s="18"/>
      <c r="G30" s="18"/>
    </row>
    <row r="31" spans="1:7" ht="12.75">
      <c r="A31" s="28"/>
      <c r="B31" s="18"/>
      <c r="C31" s="18"/>
      <c r="D31" s="18"/>
      <c r="E31" s="18"/>
      <c r="F31" s="18"/>
      <c r="G31" s="18"/>
    </row>
    <row r="32" spans="1:7" ht="12.75">
      <c r="A32" s="29"/>
      <c r="B32" s="18"/>
      <c r="C32" s="18"/>
      <c r="D32" s="18"/>
      <c r="E32" s="18"/>
      <c r="F32" s="18"/>
      <c r="G32" s="18"/>
    </row>
    <row r="33" spans="1:7" ht="12.75">
      <c r="A33" s="28"/>
      <c r="B33" s="18"/>
      <c r="C33" s="18"/>
      <c r="D33" s="18"/>
      <c r="E33" s="18"/>
      <c r="F33" s="18"/>
      <c r="G33" s="18"/>
    </row>
    <row r="34" spans="1:7" ht="12.75">
      <c r="A34" s="28"/>
      <c r="B34" s="18"/>
      <c r="C34" s="18"/>
      <c r="D34" s="18"/>
      <c r="E34" s="18"/>
      <c r="F34" s="18"/>
      <c r="G34" s="18"/>
    </row>
    <row r="35" spans="1:7" ht="12.75">
      <c r="A35" s="29"/>
      <c r="B35" s="18"/>
      <c r="C35" s="18"/>
      <c r="D35" s="18"/>
      <c r="E35" s="18"/>
      <c r="F35" s="18"/>
      <c r="G35" s="18"/>
    </row>
    <row r="36" spans="1:7" ht="12.75">
      <c r="A36" s="28"/>
      <c r="B36" s="18"/>
      <c r="C36" s="18"/>
      <c r="D36" s="18"/>
      <c r="E36" s="18"/>
      <c r="F36" s="18"/>
      <c r="G36" s="18"/>
    </row>
    <row r="37" spans="1:7" ht="12.75">
      <c r="A37" s="28"/>
      <c r="B37" s="18"/>
      <c r="C37" s="18"/>
      <c r="D37" s="18"/>
      <c r="E37" s="18"/>
      <c r="F37" s="18"/>
      <c r="G37" s="18"/>
    </row>
    <row r="38" spans="1:7" ht="12.75">
      <c r="A38" s="28"/>
      <c r="B38" s="18"/>
      <c r="C38" s="18"/>
      <c r="D38" s="18"/>
      <c r="E38" s="18"/>
      <c r="F38" s="18"/>
      <c r="G38" s="18"/>
    </row>
  </sheetData>
  <sheetProtection/>
  <mergeCells count="3">
    <mergeCell ref="A4:G4"/>
    <mergeCell ref="A10:G10"/>
    <mergeCell ref="A20:G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34" sqref="J34"/>
    </sheetView>
  </sheetViews>
  <sheetFormatPr defaultColWidth="8.66015625" defaultRowHeight="20.25"/>
  <cols>
    <col min="1" max="1" width="8.41015625" style="1" customWidth="1"/>
    <col min="2" max="6" width="8" style="1" customWidth="1"/>
    <col min="7" max="16384" width="8.83203125" style="1" customWidth="1"/>
  </cols>
  <sheetData>
    <row r="1" spans="1:6" ht="24.75" customHeight="1">
      <c r="A1" s="16" t="s">
        <v>51</v>
      </c>
      <c r="B1" s="3"/>
      <c r="C1" s="3"/>
      <c r="D1" s="3"/>
      <c r="E1" s="3"/>
      <c r="F1" s="3"/>
    </row>
    <row r="2" spans="1:6" ht="39.75" customHeight="1">
      <c r="A2" s="14"/>
      <c r="B2" s="15" t="s">
        <v>46</v>
      </c>
      <c r="C2" s="15" t="s">
        <v>47</v>
      </c>
      <c r="D2" s="15" t="s">
        <v>48</v>
      </c>
      <c r="E2" s="15" t="s">
        <v>49</v>
      </c>
      <c r="F2" s="15" t="s">
        <v>50</v>
      </c>
    </row>
    <row r="3" spans="1:6" ht="19.5" customHeight="1">
      <c r="A3" s="43" t="s">
        <v>52</v>
      </c>
      <c r="B3" s="43"/>
      <c r="C3" s="43"/>
      <c r="D3" s="43"/>
      <c r="E3" s="43"/>
      <c r="F3" s="43"/>
    </row>
    <row r="4" spans="1:6" ht="15.75" customHeight="1">
      <c r="A4" s="44" t="s">
        <v>21</v>
      </c>
      <c r="B4" s="44"/>
      <c r="C4" s="44"/>
      <c r="D4" s="44"/>
      <c r="E4" s="44"/>
      <c r="F4" s="44"/>
    </row>
    <row r="5" spans="1:6" ht="12.75" customHeight="1">
      <c r="A5" s="9" t="s">
        <v>13</v>
      </c>
      <c r="B5" s="22">
        <v>2.140901125290937</v>
      </c>
      <c r="C5" s="22">
        <v>3.730103891210595</v>
      </c>
      <c r="D5" s="22">
        <v>0.6848806994728515</v>
      </c>
      <c r="E5" s="22">
        <v>2.629702277567771</v>
      </c>
      <c r="F5" s="22">
        <v>9.185587993542153</v>
      </c>
    </row>
    <row r="6" spans="1:6" ht="12.75" customHeight="1">
      <c r="A6" s="9" t="s">
        <v>14</v>
      </c>
      <c r="B6" s="22">
        <v>2.2</v>
      </c>
      <c r="C6" s="22">
        <v>3.8</v>
      </c>
      <c r="D6" s="22">
        <v>0.695804761688364</v>
      </c>
      <c r="E6" s="22">
        <v>2.689541522263759</v>
      </c>
      <c r="F6" s="22">
        <v>9.4</v>
      </c>
    </row>
    <row r="7" spans="1:6" ht="12.75" customHeight="1">
      <c r="A7" s="9" t="s">
        <v>15</v>
      </c>
      <c r="B7" s="22">
        <v>2.2</v>
      </c>
      <c r="C7" s="22">
        <v>3.8</v>
      </c>
      <c r="D7" s="22">
        <v>0.7</v>
      </c>
      <c r="E7" s="22">
        <v>2.5</v>
      </c>
      <c r="F7" s="22">
        <v>9.1</v>
      </c>
    </row>
    <row r="8" spans="1:6" ht="12.75" customHeight="1">
      <c r="A8" s="9" t="s">
        <v>16</v>
      </c>
      <c r="B8" s="22">
        <v>2.2</v>
      </c>
      <c r="C8" s="22">
        <v>3.8</v>
      </c>
      <c r="D8" s="22"/>
      <c r="E8" s="22"/>
      <c r="F8" s="22">
        <v>9.2</v>
      </c>
    </row>
    <row r="9" spans="1:6" ht="19.5" customHeight="1">
      <c r="A9" s="44" t="s">
        <v>40</v>
      </c>
      <c r="B9" s="44"/>
      <c r="C9" s="44"/>
      <c r="D9" s="44"/>
      <c r="E9" s="44"/>
      <c r="F9" s="44"/>
    </row>
    <row r="10" spans="1:6" ht="12.75" customHeight="1">
      <c r="A10" s="7" t="s">
        <v>0</v>
      </c>
      <c r="B10" s="22">
        <v>1</v>
      </c>
      <c r="C10" s="22">
        <v>2</v>
      </c>
      <c r="D10" s="22">
        <v>0.31829656459225114</v>
      </c>
      <c r="E10" s="22">
        <v>1.194160904401273</v>
      </c>
      <c r="F10" s="22">
        <v>4.522006365931292</v>
      </c>
    </row>
    <row r="11" spans="1:6" ht="12.75" customHeight="1">
      <c r="A11" s="7" t="s">
        <v>1</v>
      </c>
      <c r="B11" s="22">
        <v>1.6</v>
      </c>
      <c r="C11" s="22">
        <v>3.7</v>
      </c>
      <c r="D11" s="22">
        <v>0.6273617786256741</v>
      </c>
      <c r="E11" s="22">
        <v>2.3443519096012038</v>
      </c>
      <c r="F11" s="22">
        <v>8.276772939061525</v>
      </c>
    </row>
    <row r="12" spans="1:6" ht="12.75" customHeight="1">
      <c r="A12" s="7" t="s">
        <v>5</v>
      </c>
      <c r="B12" s="22">
        <v>2.9</v>
      </c>
      <c r="C12" s="22">
        <v>4.7</v>
      </c>
      <c r="D12" s="22">
        <v>0.8401769085371771</v>
      </c>
      <c r="E12" s="22">
        <v>2.7858011026744247</v>
      </c>
      <c r="F12" s="22">
        <v>11.170008734512415</v>
      </c>
    </row>
    <row r="13" spans="1:6" ht="12.75" customHeight="1">
      <c r="A13" s="7" t="s">
        <v>2</v>
      </c>
      <c r="B13" s="22">
        <v>2</v>
      </c>
      <c r="C13" s="22">
        <v>5.1</v>
      </c>
      <c r="D13" s="22">
        <v>0.7022674027043051</v>
      </c>
      <c r="E13" s="22">
        <v>4.363267961064453</v>
      </c>
      <c r="F13" s="22">
        <v>12.249385516022635</v>
      </c>
    </row>
    <row r="14" spans="1:6" ht="12.75" customHeight="1">
      <c r="A14" s="7" t="s">
        <v>3</v>
      </c>
      <c r="B14" s="22">
        <v>3.1</v>
      </c>
      <c r="C14" s="22">
        <v>4.8</v>
      </c>
      <c r="D14" s="22">
        <v>0.8271766519069403</v>
      </c>
      <c r="E14" s="22">
        <v>2.7873253908065663</v>
      </c>
      <c r="F14" s="22">
        <v>11.484147564645156</v>
      </c>
    </row>
    <row r="15" spans="1:6" ht="12.75" customHeight="1">
      <c r="A15" s="7" t="s">
        <v>4</v>
      </c>
      <c r="B15" s="22">
        <v>2.6</v>
      </c>
      <c r="C15" s="22">
        <v>3.9</v>
      </c>
      <c r="D15" s="22">
        <v>0.8774434306349199</v>
      </c>
      <c r="E15" s="22">
        <v>2.9218624963305815</v>
      </c>
      <c r="F15" s="22">
        <v>10.24783152442727</v>
      </c>
    </row>
    <row r="16" spans="1:6" ht="12.75" customHeight="1">
      <c r="A16" s="7" t="s">
        <v>6</v>
      </c>
      <c r="B16" s="22">
        <v>1.5</v>
      </c>
      <c r="C16" s="22">
        <v>4</v>
      </c>
      <c r="D16" s="22">
        <v>0.3143342848895019</v>
      </c>
      <c r="E16" s="22">
        <v>2.1169451839497064</v>
      </c>
      <c r="F16" s="22">
        <v>7.928921961702537</v>
      </c>
    </row>
    <row r="17" spans="1:6" ht="12.75" customHeight="1">
      <c r="A17" s="7" t="s">
        <v>7</v>
      </c>
      <c r="B17" s="22">
        <v>1.4</v>
      </c>
      <c r="C17" s="22">
        <v>2.8</v>
      </c>
      <c r="D17" s="22">
        <v>0.489065884161252</v>
      </c>
      <c r="E17" s="22">
        <v>1.5220928027467537</v>
      </c>
      <c r="F17" s="22">
        <v>6.208142447924464</v>
      </c>
    </row>
    <row r="18" spans="1:6" ht="12.75" customHeight="1">
      <c r="A18" s="7" t="s">
        <v>8</v>
      </c>
      <c r="B18" s="22">
        <v>1.3</v>
      </c>
      <c r="C18" s="22">
        <v>2.2</v>
      </c>
      <c r="D18" s="22">
        <v>0.5114983921059513</v>
      </c>
      <c r="E18" s="22">
        <v>1.523026602503819</v>
      </c>
      <c r="F18" s="22">
        <v>5.511796575025116</v>
      </c>
    </row>
    <row r="19" spans="1:6" ht="19.5" customHeight="1">
      <c r="A19" s="44" t="s">
        <v>41</v>
      </c>
      <c r="B19" s="44"/>
      <c r="C19" s="44"/>
      <c r="D19" s="44"/>
      <c r="E19" s="44"/>
      <c r="F19" s="44"/>
    </row>
    <row r="20" spans="1:6" ht="12.75" customHeight="1">
      <c r="A20" s="7" t="s">
        <v>22</v>
      </c>
      <c r="B20" s="22">
        <v>2</v>
      </c>
      <c r="C20" s="22">
        <v>4.1</v>
      </c>
      <c r="D20" s="22">
        <v>0.6473490840653522</v>
      </c>
      <c r="E20" s="22">
        <v>2.546862722061714</v>
      </c>
      <c r="F20" s="22">
        <v>9.3</v>
      </c>
    </row>
    <row r="21" spans="1:6" ht="12.75" customHeight="1">
      <c r="A21" s="7" t="s">
        <v>23</v>
      </c>
      <c r="B21" s="22">
        <v>2.2</v>
      </c>
      <c r="C21" s="22">
        <v>5.3</v>
      </c>
      <c r="D21" s="22">
        <v>1.0088793171975112</v>
      </c>
      <c r="E21" s="22">
        <v>3.3104370801381147</v>
      </c>
      <c r="F21" s="22">
        <v>11.7</v>
      </c>
    </row>
    <row r="22" spans="1:6" s="5" customFormat="1" ht="12.75" customHeight="1">
      <c r="A22" s="7" t="s">
        <v>31</v>
      </c>
      <c r="B22" s="22">
        <v>2.1</v>
      </c>
      <c r="C22" s="22">
        <v>4.9</v>
      </c>
      <c r="D22" s="22">
        <v>0.8811317852513266</v>
      </c>
      <c r="E22" s="22">
        <v>3.0406263402269254</v>
      </c>
      <c r="F22" s="22">
        <v>10.9</v>
      </c>
    </row>
    <row r="23" spans="1:6" ht="19.5" customHeight="1">
      <c r="A23" s="44" t="s">
        <v>53</v>
      </c>
      <c r="B23" s="44"/>
      <c r="C23" s="44"/>
      <c r="D23" s="44"/>
      <c r="E23" s="44"/>
      <c r="F23" s="44"/>
    </row>
    <row r="24" spans="1:6" ht="15" customHeight="1">
      <c r="A24" s="44" t="s">
        <v>21</v>
      </c>
      <c r="B24" s="44"/>
      <c r="C24" s="44"/>
      <c r="D24" s="44"/>
      <c r="E24" s="44"/>
      <c r="F24" s="44"/>
    </row>
    <row r="25" spans="1:6" ht="12.75" customHeight="1">
      <c r="A25" s="9" t="s">
        <v>13</v>
      </c>
      <c r="B25" s="22">
        <v>61.121878919165425</v>
      </c>
      <c r="C25" s="22">
        <v>106.49298825675521</v>
      </c>
      <c r="D25" s="22">
        <v>19.553072625698324</v>
      </c>
      <c r="E25" s="22">
        <v>75.0769581575647</v>
      </c>
      <c r="F25" s="22">
        <v>262.2448979591837</v>
      </c>
    </row>
    <row r="26" spans="1:6" ht="12.75" customHeight="1">
      <c r="A26" s="9" t="s">
        <v>14</v>
      </c>
      <c r="B26" s="22">
        <v>64.8</v>
      </c>
      <c r="C26" s="22">
        <v>109.4</v>
      </c>
      <c r="D26" s="22">
        <v>20.2</v>
      </c>
      <c r="E26" s="22">
        <v>78.1</v>
      </c>
      <c r="F26" s="22">
        <v>272.6</v>
      </c>
    </row>
    <row r="27" spans="1:6" ht="12.75" customHeight="1">
      <c r="A27" s="9" t="s">
        <v>15</v>
      </c>
      <c r="B27" s="22">
        <v>65.2</v>
      </c>
      <c r="C27" s="22">
        <v>114</v>
      </c>
      <c r="D27" s="22">
        <v>21</v>
      </c>
      <c r="E27" s="22">
        <v>74.7</v>
      </c>
      <c r="F27" s="22">
        <v>274.8</v>
      </c>
    </row>
    <row r="28" spans="1:6" ht="12.75" customHeight="1">
      <c r="A28" s="9" t="s">
        <v>16</v>
      </c>
      <c r="B28" s="22">
        <v>68.1</v>
      </c>
      <c r="C28" s="22">
        <v>117.6</v>
      </c>
      <c r="D28" s="22">
        <v>21.4</v>
      </c>
      <c r="E28" s="22">
        <v>75.7</v>
      </c>
      <c r="F28" s="22">
        <v>282.8</v>
      </c>
    </row>
    <row r="29" spans="1:6" ht="19.5" customHeight="1">
      <c r="A29" s="44" t="s">
        <v>40</v>
      </c>
      <c r="B29" s="44"/>
      <c r="C29" s="44"/>
      <c r="D29" s="44"/>
      <c r="E29" s="44"/>
      <c r="F29" s="44"/>
    </row>
    <row r="30" spans="1:6" ht="12.75" customHeight="1">
      <c r="A30" s="7" t="s">
        <v>0</v>
      </c>
      <c r="B30" s="22">
        <v>50</v>
      </c>
      <c r="C30" s="22">
        <v>104</v>
      </c>
      <c r="D30" s="22">
        <v>16.292134831460675</v>
      </c>
      <c r="E30" s="22">
        <v>61.12359550561798</v>
      </c>
      <c r="F30" s="22">
        <v>231.46067415730334</v>
      </c>
    </row>
    <row r="31" spans="1:6" ht="12.75" customHeight="1">
      <c r="A31" s="7" t="s">
        <v>1</v>
      </c>
      <c r="B31" s="22">
        <v>57.7</v>
      </c>
      <c r="C31" s="22">
        <v>132.3</v>
      </c>
      <c r="D31" s="22">
        <v>22.470433639947437</v>
      </c>
      <c r="E31" s="22">
        <v>83.96846254927726</v>
      </c>
      <c r="F31" s="22">
        <v>296.4520367936925</v>
      </c>
    </row>
    <row r="32" spans="1:6" ht="12.75" customHeight="1">
      <c r="A32" s="7" t="s">
        <v>5</v>
      </c>
      <c r="B32" s="22">
        <v>74</v>
      </c>
      <c r="C32" s="22">
        <v>121.2</v>
      </c>
      <c r="D32" s="22">
        <v>21.74641148325359</v>
      </c>
      <c r="E32" s="22">
        <v>72.10526315789474</v>
      </c>
      <c r="F32" s="22">
        <v>289.11483253588517</v>
      </c>
    </row>
    <row r="33" spans="1:6" ht="12.75" customHeight="1">
      <c r="A33" s="7" t="s">
        <v>2</v>
      </c>
      <c r="B33" s="22">
        <v>43.6</v>
      </c>
      <c r="C33" s="22">
        <v>109.3</v>
      </c>
      <c r="D33" s="22">
        <v>14.950980392156863</v>
      </c>
      <c r="E33" s="22">
        <v>92.8921568627451</v>
      </c>
      <c r="F33" s="22">
        <v>260.7843137254902</v>
      </c>
    </row>
    <row r="34" spans="1:6" ht="12.75" customHeight="1">
      <c r="A34" s="7" t="s">
        <v>3</v>
      </c>
      <c r="B34" s="22">
        <v>73.8</v>
      </c>
      <c r="C34" s="22">
        <v>114.8</v>
      </c>
      <c r="D34" s="22">
        <v>19.824111396115793</v>
      </c>
      <c r="E34" s="22">
        <v>66.80102601685599</v>
      </c>
      <c r="F34" s="22">
        <v>275.2290216196409</v>
      </c>
    </row>
    <row r="35" spans="1:6" ht="12.75" customHeight="1">
      <c r="A35" s="7" t="s">
        <v>4</v>
      </c>
      <c r="B35" s="22">
        <v>74.4</v>
      </c>
      <c r="C35" s="22">
        <v>112</v>
      </c>
      <c r="D35" s="22">
        <v>25.3661939083934</v>
      </c>
      <c r="E35" s="22">
        <v>84.46872820274355</v>
      </c>
      <c r="F35" s="22">
        <v>296.2566844919786</v>
      </c>
    </row>
    <row r="36" spans="1:6" ht="12.75" customHeight="1">
      <c r="A36" s="7" t="s">
        <v>6</v>
      </c>
      <c r="B36" s="22">
        <v>61.7</v>
      </c>
      <c r="C36" s="22">
        <v>164.7</v>
      </c>
      <c r="D36" s="22">
        <v>12.945838837516513</v>
      </c>
      <c r="E36" s="22">
        <v>87.18626155878468</v>
      </c>
      <c r="F36" s="22">
        <v>326.55217965653895</v>
      </c>
    </row>
    <row r="37" spans="1:6" ht="12.75" customHeight="1">
      <c r="A37" s="7" t="s">
        <v>7</v>
      </c>
      <c r="B37" s="22">
        <v>52.1</v>
      </c>
      <c r="C37" s="22">
        <v>109.6</v>
      </c>
      <c r="D37" s="22">
        <v>18.846153846153847</v>
      </c>
      <c r="E37" s="22">
        <v>58.65384615384615</v>
      </c>
      <c r="F37" s="22">
        <v>239.23076923076923</v>
      </c>
    </row>
    <row r="38" spans="1:6" ht="12.75" customHeight="1">
      <c r="A38" s="7" t="s">
        <v>8</v>
      </c>
      <c r="B38" s="22">
        <v>66.5</v>
      </c>
      <c r="C38" s="22">
        <v>113.1</v>
      </c>
      <c r="D38" s="22">
        <v>26.48456057007126</v>
      </c>
      <c r="E38" s="22">
        <v>78.85985748218528</v>
      </c>
      <c r="F38" s="22">
        <v>285.3919239904988</v>
      </c>
    </row>
    <row r="39" spans="1:6" ht="19.5" customHeight="1">
      <c r="A39" s="44" t="s">
        <v>41</v>
      </c>
      <c r="B39" s="44"/>
      <c r="C39" s="44"/>
      <c r="D39" s="44"/>
      <c r="E39" s="44"/>
      <c r="F39" s="44"/>
    </row>
    <row r="40" spans="1:6" ht="12.75" customHeight="1">
      <c r="A40" s="7" t="s">
        <v>22</v>
      </c>
      <c r="B40" s="22">
        <v>60</v>
      </c>
      <c r="C40" s="22">
        <v>117.6</v>
      </c>
      <c r="D40" s="22">
        <v>17.9</v>
      </c>
      <c r="E40" s="22">
        <v>71.1</v>
      </c>
      <c r="F40" s="22">
        <v>266</v>
      </c>
    </row>
    <row r="41" spans="1:6" ht="12.75" customHeight="1">
      <c r="A41" s="7" t="s">
        <v>23</v>
      </c>
      <c r="B41" s="22">
        <v>53.8</v>
      </c>
      <c r="C41" s="22">
        <v>132.1</v>
      </c>
      <c r="D41" s="22">
        <v>25.5</v>
      </c>
      <c r="E41" s="22">
        <v>81.1</v>
      </c>
      <c r="F41" s="22">
        <v>292.6</v>
      </c>
    </row>
    <row r="42" spans="1:6" s="5" customFormat="1" ht="12.75" customHeight="1">
      <c r="A42" s="7" t="s">
        <v>31</v>
      </c>
      <c r="B42" s="22">
        <v>55.35</v>
      </c>
      <c r="C42" s="22">
        <v>127.7</v>
      </c>
      <c r="D42" s="22">
        <v>23</v>
      </c>
      <c r="E42" s="22">
        <v>77.9</v>
      </c>
      <c r="F42" s="22">
        <v>284.1</v>
      </c>
    </row>
    <row r="43" spans="1:6" ht="12.75">
      <c r="A43" s="11"/>
      <c r="B43" s="6"/>
      <c r="C43" s="6"/>
      <c r="D43" s="6"/>
      <c r="E43" s="6"/>
      <c r="F43" s="6"/>
    </row>
    <row r="44" spans="1:6" ht="13.5" customHeight="1">
      <c r="A44" s="7" t="s">
        <v>32</v>
      </c>
      <c r="B44" s="7"/>
      <c r="C44" s="7"/>
      <c r="D44" s="7"/>
      <c r="E44" s="7"/>
      <c r="F44" s="7"/>
    </row>
  </sheetData>
  <sheetProtection/>
  <mergeCells count="8">
    <mergeCell ref="A24:F24"/>
    <mergeCell ref="A29:F29"/>
    <mergeCell ref="A39:F39"/>
    <mergeCell ref="A3:F3"/>
    <mergeCell ref="A9:F9"/>
    <mergeCell ref="A19:F19"/>
    <mergeCell ref="A23:F23"/>
    <mergeCell ref="A4:F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21" sqref="J21"/>
    </sheetView>
  </sheetViews>
  <sheetFormatPr defaultColWidth="8.66015625" defaultRowHeight="20.25"/>
  <cols>
    <col min="1" max="1" width="8.5" style="1" customWidth="1"/>
    <col min="2" max="3" width="8" style="1" customWidth="1"/>
    <col min="4" max="4" width="8.66015625" style="1" customWidth="1"/>
    <col min="5" max="6" width="8" style="1" customWidth="1"/>
    <col min="7" max="16384" width="8.83203125" style="1" customWidth="1"/>
  </cols>
  <sheetData>
    <row r="1" spans="1:6" ht="24.75" customHeight="1">
      <c r="A1" s="8" t="s">
        <v>45</v>
      </c>
      <c r="B1" s="2"/>
      <c r="C1" s="2"/>
      <c r="D1" s="2"/>
      <c r="E1" s="2"/>
      <c r="F1" s="3"/>
    </row>
    <row r="2" spans="1:6" ht="39.75" customHeight="1">
      <c r="A2" s="14"/>
      <c r="B2" s="15" t="s">
        <v>46</v>
      </c>
      <c r="C2" s="15" t="s">
        <v>47</v>
      </c>
      <c r="D2" s="15" t="s">
        <v>48</v>
      </c>
      <c r="E2" s="15" t="s">
        <v>49</v>
      </c>
      <c r="F2" s="15" t="s">
        <v>50</v>
      </c>
    </row>
    <row r="3" spans="1:6" ht="19.5" customHeight="1">
      <c r="A3" s="43" t="s">
        <v>39</v>
      </c>
      <c r="B3" s="43"/>
      <c r="C3" s="43"/>
      <c r="D3" s="43"/>
      <c r="E3" s="43"/>
      <c r="F3" s="43"/>
    </row>
    <row r="4" spans="1:6" ht="15" customHeight="1">
      <c r="A4" s="44" t="s">
        <v>21</v>
      </c>
      <c r="B4" s="44"/>
      <c r="C4" s="44"/>
      <c r="D4" s="44"/>
      <c r="E4" s="44"/>
      <c r="F4" s="44"/>
    </row>
    <row r="5" spans="1:6" ht="12.75" customHeight="1">
      <c r="A5" s="9" t="s">
        <v>13</v>
      </c>
      <c r="B5" s="18">
        <v>9172</v>
      </c>
      <c r="C5" s="18">
        <v>16957</v>
      </c>
      <c r="D5" s="18">
        <v>2977</v>
      </c>
      <c r="E5" s="18">
        <v>11393</v>
      </c>
      <c r="F5" s="18">
        <v>40499</v>
      </c>
    </row>
    <row r="6" spans="1:6" ht="12.75" customHeight="1">
      <c r="A6" s="9" t="s">
        <v>14</v>
      </c>
      <c r="B6" s="18">
        <v>9244</v>
      </c>
      <c r="C6" s="18">
        <v>17178</v>
      </c>
      <c r="D6" s="18">
        <v>2999</v>
      </c>
      <c r="E6" s="18">
        <v>11098</v>
      </c>
      <c r="F6" s="18">
        <f>SUM(B6:E6)</f>
        <v>40519</v>
      </c>
    </row>
    <row r="7" spans="1:6" ht="12.75" customHeight="1">
      <c r="A7" s="9" t="s">
        <v>15</v>
      </c>
      <c r="B7" s="18">
        <v>9021</v>
      </c>
      <c r="C7" s="18">
        <v>17015</v>
      </c>
      <c r="D7" s="18">
        <v>2965</v>
      </c>
      <c r="E7" s="18">
        <v>10411</v>
      </c>
      <c r="F7" s="18">
        <f>SUM(B7:E7)</f>
        <v>39412</v>
      </c>
    </row>
    <row r="8" spans="1:6" ht="12.75" customHeight="1">
      <c r="A8" s="9" t="s">
        <v>16</v>
      </c>
      <c r="B8" s="18">
        <v>9227</v>
      </c>
      <c r="C8" s="18">
        <v>17324</v>
      </c>
      <c r="D8" s="18">
        <v>2930</v>
      </c>
      <c r="E8" s="18">
        <f>F8-(B8+C8+D8)</f>
        <v>10240</v>
      </c>
      <c r="F8" s="18">
        <v>39721</v>
      </c>
    </row>
    <row r="9" spans="1:6" ht="19.5" customHeight="1">
      <c r="A9" s="44" t="s">
        <v>40</v>
      </c>
      <c r="B9" s="44"/>
      <c r="C9" s="44"/>
      <c r="D9" s="44"/>
      <c r="E9" s="44"/>
      <c r="F9" s="44"/>
    </row>
    <row r="10" spans="1:6" ht="12.75" customHeight="1">
      <c r="A10" s="7" t="s">
        <v>0</v>
      </c>
      <c r="B10" s="18">
        <v>418</v>
      </c>
      <c r="C10" s="18">
        <v>884</v>
      </c>
      <c r="D10" s="18">
        <v>137</v>
      </c>
      <c r="E10" s="18">
        <v>491</v>
      </c>
      <c r="F10" s="18">
        <v>1930</v>
      </c>
    </row>
    <row r="11" spans="1:6" ht="12.75" customHeight="1">
      <c r="A11" s="7" t="s">
        <v>1</v>
      </c>
      <c r="B11" s="18">
        <v>384</v>
      </c>
      <c r="C11" s="18">
        <v>955</v>
      </c>
      <c r="D11" s="18">
        <v>152</v>
      </c>
      <c r="E11" s="18">
        <v>587</v>
      </c>
      <c r="F11" s="18">
        <v>2078</v>
      </c>
    </row>
    <row r="12" spans="1:6" ht="12.75" customHeight="1">
      <c r="A12" s="7" t="s">
        <v>5</v>
      </c>
      <c r="B12" s="18">
        <v>2335</v>
      </c>
      <c r="C12" s="18">
        <v>4396</v>
      </c>
      <c r="D12" s="18">
        <v>755</v>
      </c>
      <c r="E12" s="18">
        <v>2256</v>
      </c>
      <c r="F12" s="18">
        <v>9742</v>
      </c>
    </row>
    <row r="13" spans="1:6" ht="12.75" customHeight="1">
      <c r="A13" s="7" t="s">
        <v>2</v>
      </c>
      <c r="B13" s="18">
        <v>356</v>
      </c>
      <c r="C13" s="18">
        <v>892</v>
      </c>
      <c r="D13" s="18">
        <v>122</v>
      </c>
      <c r="E13" s="18">
        <v>758</v>
      </c>
      <c r="F13" s="18">
        <v>2128</v>
      </c>
    </row>
    <row r="14" spans="1:6" ht="12.75" customHeight="1">
      <c r="A14" s="7" t="s">
        <v>3</v>
      </c>
      <c r="B14" s="18">
        <v>1747</v>
      </c>
      <c r="C14" s="18">
        <v>2830</v>
      </c>
      <c r="D14" s="18">
        <v>454</v>
      </c>
      <c r="E14" s="18">
        <v>1526</v>
      </c>
      <c r="F14" s="18">
        <v>6557</v>
      </c>
    </row>
    <row r="15" spans="1:6" ht="12.75" customHeight="1">
      <c r="A15" s="7" t="s">
        <v>4</v>
      </c>
      <c r="B15" s="18">
        <v>2657</v>
      </c>
      <c r="C15" s="18">
        <v>4286</v>
      </c>
      <c r="D15" s="18">
        <v>882</v>
      </c>
      <c r="E15" s="18">
        <v>2895</v>
      </c>
      <c r="F15" s="18">
        <v>10720</v>
      </c>
    </row>
    <row r="16" spans="1:6" ht="12.75" customHeight="1">
      <c r="A16" s="7" t="s">
        <v>6</v>
      </c>
      <c r="B16" s="18">
        <v>446</v>
      </c>
      <c r="C16" s="18">
        <v>1215</v>
      </c>
      <c r="D16" s="18">
        <v>84</v>
      </c>
      <c r="E16" s="18">
        <v>630</v>
      </c>
      <c r="F16" s="18">
        <v>2375</v>
      </c>
    </row>
    <row r="17" spans="1:6" ht="12.75" customHeight="1">
      <c r="A17" s="7" t="s">
        <v>7</v>
      </c>
      <c r="B17" s="18">
        <v>385</v>
      </c>
      <c r="C17" s="18">
        <v>962</v>
      </c>
      <c r="D17" s="18">
        <v>136</v>
      </c>
      <c r="E17" s="18">
        <v>468</v>
      </c>
      <c r="F17" s="18">
        <v>1951</v>
      </c>
    </row>
    <row r="18" spans="1:6" ht="12.75" customHeight="1">
      <c r="A18" s="7" t="s">
        <v>8</v>
      </c>
      <c r="B18" s="18">
        <v>499</v>
      </c>
      <c r="C18" s="18">
        <v>904</v>
      </c>
      <c r="D18" s="18">
        <v>208</v>
      </c>
      <c r="E18" s="18">
        <v>629</v>
      </c>
      <c r="F18" s="18">
        <v>2240</v>
      </c>
    </row>
    <row r="19" spans="1:6" ht="19.5" customHeight="1">
      <c r="A19" s="44" t="s">
        <v>41</v>
      </c>
      <c r="B19" s="44"/>
      <c r="C19" s="44"/>
      <c r="D19" s="44"/>
      <c r="E19" s="44"/>
      <c r="F19" s="44"/>
    </row>
    <row r="20" spans="1:6" ht="12.75" customHeight="1">
      <c r="A20" s="7" t="s">
        <v>22</v>
      </c>
      <c r="B20" s="18">
        <f>12123+24097</f>
        <v>36220</v>
      </c>
      <c r="C20" s="18">
        <f>24078+52200</f>
        <v>76278</v>
      </c>
      <c r="D20" s="18">
        <f>3518+7797</f>
        <v>11315</v>
      </c>
      <c r="E20" s="18">
        <v>41821</v>
      </c>
      <c r="F20" s="18">
        <f>53546+112088</f>
        <v>165634</v>
      </c>
    </row>
    <row r="21" spans="1:6" ht="12.75" customHeight="1">
      <c r="A21" s="7" t="s">
        <v>23</v>
      </c>
      <c r="B21" s="18">
        <f>B22-B20</f>
        <v>70017</v>
      </c>
      <c r="C21" s="18">
        <f>C22-C20</f>
        <v>185251</v>
      </c>
      <c r="D21" s="18">
        <f>D22-D20</f>
        <v>33198</v>
      </c>
      <c r="E21" s="18">
        <f>E22-E20</f>
        <v>109506</v>
      </c>
      <c r="F21" s="18">
        <f>F22-F20</f>
        <v>397972</v>
      </c>
    </row>
    <row r="22" spans="1:8" s="5" customFormat="1" ht="12.75" customHeight="1">
      <c r="A22" s="7" t="s">
        <v>31</v>
      </c>
      <c r="B22" s="18">
        <v>106237</v>
      </c>
      <c r="C22" s="18">
        <v>261529</v>
      </c>
      <c r="D22" s="18">
        <v>44513</v>
      </c>
      <c r="E22" s="18">
        <v>151327</v>
      </c>
      <c r="F22" s="18">
        <v>563606</v>
      </c>
      <c r="H22" s="1"/>
    </row>
    <row r="23" spans="1:6" s="5" customFormat="1" ht="21.75" customHeight="1">
      <c r="A23" s="17" t="s">
        <v>42</v>
      </c>
      <c r="B23" s="23">
        <f>+B8*100/B22</f>
        <v>8.685297965868765</v>
      </c>
      <c r="C23" s="23">
        <f>+C7*100/C22</f>
        <v>6.5059706571737745</v>
      </c>
      <c r="D23" s="23">
        <f>+D7*100/D22</f>
        <v>6.660975445375509</v>
      </c>
      <c r="E23" s="23">
        <f>+E7*100/E22</f>
        <v>6.879803339787348</v>
      </c>
      <c r="F23" s="23">
        <f>+F7*100/F22</f>
        <v>6.992828323332257</v>
      </c>
    </row>
    <row r="24" spans="1:6" ht="19.5" customHeight="1">
      <c r="A24" s="44" t="s">
        <v>44</v>
      </c>
      <c r="B24" s="44"/>
      <c r="C24" s="44"/>
      <c r="D24" s="44"/>
      <c r="E24" s="44"/>
      <c r="F24" s="44"/>
    </row>
    <row r="25" spans="1:6" ht="15" customHeight="1">
      <c r="A25" s="44" t="s">
        <v>21</v>
      </c>
      <c r="B25" s="44"/>
      <c r="C25" s="44"/>
      <c r="D25" s="44"/>
      <c r="E25" s="44"/>
      <c r="F25" s="44"/>
    </row>
    <row r="26" spans="1:7" ht="12.75" customHeight="1">
      <c r="A26" s="9" t="s">
        <v>13</v>
      </c>
      <c r="B26" s="18">
        <v>1550</v>
      </c>
      <c r="C26" s="18">
        <v>1724</v>
      </c>
      <c r="D26" s="18">
        <v>453</v>
      </c>
      <c r="E26" s="18">
        <v>1777</v>
      </c>
      <c r="F26" s="18">
        <f>SUM(B26:E26)</f>
        <v>5504</v>
      </c>
      <c r="G26" s="1">
        <f>F29/F26*100-100</f>
        <v>16.71511627906976</v>
      </c>
    </row>
    <row r="27" spans="1:6" ht="12.75" customHeight="1">
      <c r="A27" s="9" t="s">
        <v>14</v>
      </c>
      <c r="B27" s="18">
        <v>1976</v>
      </c>
      <c r="C27" s="18">
        <v>1760</v>
      </c>
      <c r="D27" s="18">
        <v>499</v>
      </c>
      <c r="E27" s="18">
        <v>2425</v>
      </c>
      <c r="F27" s="18">
        <f>SUM(B27:E27)</f>
        <v>6660</v>
      </c>
    </row>
    <row r="28" spans="1:6" ht="12.75" customHeight="1">
      <c r="A28" s="9" t="s">
        <v>15</v>
      </c>
      <c r="B28" s="18">
        <v>1757</v>
      </c>
      <c r="C28" s="18">
        <v>1841</v>
      </c>
      <c r="D28" s="18">
        <v>509</v>
      </c>
      <c r="E28" s="18">
        <v>1941</v>
      </c>
      <c r="F28" s="18">
        <f>SUM(B28:E28)</f>
        <v>6048</v>
      </c>
    </row>
    <row r="29" spans="1:6" ht="12.75" customHeight="1">
      <c r="A29" s="9" t="s">
        <v>16</v>
      </c>
      <c r="B29" s="18">
        <v>1891</v>
      </c>
      <c r="C29" s="18">
        <v>1858</v>
      </c>
      <c r="D29" s="18">
        <v>566</v>
      </c>
      <c r="E29" s="18">
        <v>2109</v>
      </c>
      <c r="F29" s="18">
        <v>6424</v>
      </c>
    </row>
    <row r="30" spans="1:6" ht="19.5" customHeight="1">
      <c r="A30" s="44" t="s">
        <v>40</v>
      </c>
      <c r="B30" s="44"/>
      <c r="C30" s="44"/>
      <c r="D30" s="44"/>
      <c r="E30" s="44"/>
      <c r="F30" s="44"/>
    </row>
    <row r="31" spans="1:6" ht="12.75" customHeight="1">
      <c r="A31" s="7" t="s">
        <v>0</v>
      </c>
      <c r="B31" s="18">
        <v>27</v>
      </c>
      <c r="C31" s="18">
        <v>42</v>
      </c>
      <c r="D31" s="18">
        <v>8</v>
      </c>
      <c r="E31" s="18">
        <v>53</v>
      </c>
      <c r="F31" s="18">
        <f>SUM(B31:E31)</f>
        <v>130</v>
      </c>
    </row>
    <row r="32" spans="1:6" ht="12.75" customHeight="1">
      <c r="A32" s="7" t="s">
        <v>1</v>
      </c>
      <c r="B32" s="18">
        <v>55</v>
      </c>
      <c r="C32" s="18">
        <v>52</v>
      </c>
      <c r="D32" s="18">
        <v>19</v>
      </c>
      <c r="E32" s="18">
        <v>52</v>
      </c>
      <c r="F32" s="18">
        <f>SUM(B32:E32)</f>
        <v>178</v>
      </c>
    </row>
    <row r="33" spans="1:6" ht="12.75" customHeight="1">
      <c r="A33" s="7" t="s">
        <v>5</v>
      </c>
      <c r="B33" s="18">
        <v>760</v>
      </c>
      <c r="C33" s="18">
        <v>671</v>
      </c>
      <c r="D33" s="18">
        <v>154</v>
      </c>
      <c r="E33" s="18">
        <v>758</v>
      </c>
      <c r="F33" s="18">
        <v>2343</v>
      </c>
    </row>
    <row r="34" spans="1:6" ht="12.75" customHeight="1">
      <c r="A34" s="7" t="s">
        <v>2</v>
      </c>
      <c r="B34" s="18" t="s">
        <v>12</v>
      </c>
      <c r="C34" s="18" t="s">
        <v>12</v>
      </c>
      <c r="D34" s="18" t="s">
        <v>12</v>
      </c>
      <c r="E34" s="18" t="s">
        <v>12</v>
      </c>
      <c r="F34" s="18" t="s">
        <v>12</v>
      </c>
    </row>
    <row r="35" spans="1:6" ht="12.75" customHeight="1">
      <c r="A35" s="7" t="s">
        <v>3</v>
      </c>
      <c r="B35" s="18">
        <v>268</v>
      </c>
      <c r="C35" s="18">
        <v>302</v>
      </c>
      <c r="D35" s="18">
        <v>87</v>
      </c>
      <c r="E35" s="18">
        <v>297</v>
      </c>
      <c r="F35" s="18">
        <v>954</v>
      </c>
    </row>
    <row r="36" spans="1:6" ht="12.75" customHeight="1">
      <c r="A36" s="7" t="s">
        <v>4</v>
      </c>
      <c r="B36" s="18">
        <v>542</v>
      </c>
      <c r="C36" s="18">
        <v>533</v>
      </c>
      <c r="D36" s="18">
        <v>209</v>
      </c>
      <c r="E36" s="18">
        <v>738</v>
      </c>
      <c r="F36" s="18">
        <v>2022</v>
      </c>
    </row>
    <row r="37" spans="1:6" ht="12.75" customHeight="1">
      <c r="A37" s="7" t="s">
        <v>6</v>
      </c>
      <c r="B37" s="18">
        <v>21</v>
      </c>
      <c r="C37" s="18">
        <v>32</v>
      </c>
      <c r="D37" s="18">
        <v>14</v>
      </c>
      <c r="E37" s="18">
        <v>30</v>
      </c>
      <c r="F37" s="18">
        <v>97</v>
      </c>
    </row>
    <row r="38" spans="1:6" ht="12.75" customHeight="1">
      <c r="A38" s="7" t="s">
        <v>7</v>
      </c>
      <c r="B38" s="18">
        <v>157</v>
      </c>
      <c r="C38" s="18">
        <v>178</v>
      </c>
      <c r="D38" s="18">
        <v>60</v>
      </c>
      <c r="E38" s="18">
        <v>142</v>
      </c>
      <c r="F38" s="18">
        <v>537</v>
      </c>
    </row>
    <row r="39" spans="1:6" ht="12.75" customHeight="1">
      <c r="A39" s="7" t="s">
        <v>8</v>
      </c>
      <c r="B39" s="18">
        <v>61</v>
      </c>
      <c r="C39" s="18">
        <v>48</v>
      </c>
      <c r="D39" s="18">
        <v>15</v>
      </c>
      <c r="E39" s="18">
        <v>35</v>
      </c>
      <c r="F39" s="18">
        <v>163</v>
      </c>
    </row>
    <row r="40" spans="1:6" ht="19.5" customHeight="1">
      <c r="A40" s="44" t="s">
        <v>41</v>
      </c>
      <c r="B40" s="44"/>
      <c r="C40" s="44"/>
      <c r="D40" s="44"/>
      <c r="E40" s="44"/>
      <c r="F40" s="44"/>
    </row>
    <row r="41" spans="1:6" ht="12.75" customHeight="1">
      <c r="A41" s="7" t="s">
        <v>22</v>
      </c>
      <c r="B41" s="18">
        <f>2343+4515</f>
        <v>6858</v>
      </c>
      <c r="C41" s="18">
        <f>2466+7718</f>
        <v>10184</v>
      </c>
      <c r="D41" s="18">
        <f>644+1105</f>
        <v>1749</v>
      </c>
      <c r="E41" s="18">
        <v>10216</v>
      </c>
      <c r="F41" s="18">
        <f>8104+20903</f>
        <v>29007</v>
      </c>
    </row>
    <row r="42" spans="1:6" ht="12.75" customHeight="1">
      <c r="A42" s="7" t="s">
        <v>23</v>
      </c>
      <c r="B42" s="18">
        <f>B43-B41</f>
        <v>13823</v>
      </c>
      <c r="C42" s="18">
        <f>C43-C41</f>
        <v>20361</v>
      </c>
      <c r="D42" s="18">
        <f>D43-D41</f>
        <v>6410</v>
      </c>
      <c r="E42" s="18">
        <f>E43-E41</f>
        <v>16747</v>
      </c>
      <c r="F42" s="18">
        <f>F43-F41</f>
        <v>57341</v>
      </c>
    </row>
    <row r="43" spans="1:10" s="5" customFormat="1" ht="12.75" customHeight="1">
      <c r="A43" s="10" t="s">
        <v>31</v>
      </c>
      <c r="B43" s="18">
        <v>20681</v>
      </c>
      <c r="C43" s="18">
        <v>30545</v>
      </c>
      <c r="D43" s="18">
        <v>8159</v>
      </c>
      <c r="E43" s="18">
        <v>26963</v>
      </c>
      <c r="F43" s="18">
        <v>86348</v>
      </c>
      <c r="G43" s="1"/>
      <c r="H43" s="1"/>
      <c r="I43" s="1"/>
      <c r="J43" s="1"/>
    </row>
    <row r="44" spans="1:6" s="5" customFormat="1" ht="21.75" customHeight="1">
      <c r="A44" s="17" t="s">
        <v>42</v>
      </c>
      <c r="B44" s="23">
        <f>+B29*100/B43</f>
        <v>9.143658430443402</v>
      </c>
      <c r="C44" s="23">
        <f>+C29*100/C43</f>
        <v>6.082828613521034</v>
      </c>
      <c r="D44" s="23">
        <f>+D29*100/D43</f>
        <v>6.937124647628385</v>
      </c>
      <c r="E44" s="23">
        <f>+E29*100/E43</f>
        <v>7.821829915068798</v>
      </c>
      <c r="F44" s="23">
        <f>+F29*100/F43</f>
        <v>7.439662759994441</v>
      </c>
    </row>
    <row r="45" spans="1:6" ht="12.75">
      <c r="A45" s="11"/>
      <c r="B45" s="6"/>
      <c r="C45" s="6"/>
      <c r="D45" s="6"/>
      <c r="E45" s="6"/>
      <c r="F45" s="6"/>
    </row>
    <row r="46" spans="1:6" ht="13.5" customHeight="1">
      <c r="A46" s="7" t="s">
        <v>32</v>
      </c>
      <c r="B46" s="7"/>
      <c r="C46" s="7"/>
      <c r="D46" s="7"/>
      <c r="E46" s="7"/>
      <c r="F46" s="7"/>
    </row>
  </sheetData>
  <sheetProtection/>
  <mergeCells count="8">
    <mergeCell ref="A25:F25"/>
    <mergeCell ref="A30:F30"/>
    <mergeCell ref="A40:F40"/>
    <mergeCell ref="A3:F3"/>
    <mergeCell ref="A4:F4"/>
    <mergeCell ref="A9:F9"/>
    <mergeCell ref="A19:F19"/>
    <mergeCell ref="A24:F24"/>
  </mergeCells>
  <printOptions horizontalCentered="1" verticalCentered="1"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37" sqref="J37"/>
    </sheetView>
  </sheetViews>
  <sheetFormatPr defaultColWidth="8.66015625" defaultRowHeight="20.25"/>
  <cols>
    <col min="1" max="1" width="8.5" style="1" customWidth="1"/>
    <col min="2" max="2" width="7.16015625" style="1" customWidth="1"/>
    <col min="3" max="3" width="7.5" style="1" bestFit="1" customWidth="1"/>
    <col min="4" max="4" width="7.16015625" style="1" customWidth="1"/>
    <col min="5" max="5" width="8.5" style="1" customWidth="1"/>
    <col min="6" max="6" width="8.91015625" style="1" customWidth="1"/>
    <col min="7" max="16384" width="8.83203125" style="1" customWidth="1"/>
  </cols>
  <sheetData>
    <row r="1" spans="1:6" ht="24.75" customHeight="1">
      <c r="A1" s="8" t="s">
        <v>33</v>
      </c>
      <c r="B1" s="2"/>
      <c r="C1" s="2"/>
      <c r="D1" s="2"/>
      <c r="E1" s="2"/>
      <c r="F1" s="2"/>
    </row>
    <row r="2" spans="1:6" ht="39.75" customHeight="1">
      <c r="A2" s="14"/>
      <c r="B2" s="15" t="s">
        <v>34</v>
      </c>
      <c r="C2" s="15" t="s">
        <v>35</v>
      </c>
      <c r="D2" s="15" t="s">
        <v>36</v>
      </c>
      <c r="E2" s="15" t="s">
        <v>37</v>
      </c>
      <c r="F2" s="15" t="s">
        <v>38</v>
      </c>
    </row>
    <row r="3" spans="1:6" ht="15" customHeight="1">
      <c r="A3" s="43" t="s">
        <v>39</v>
      </c>
      <c r="B3" s="43"/>
      <c r="C3" s="43"/>
      <c r="D3" s="43"/>
      <c r="E3" s="43"/>
      <c r="F3" s="43"/>
    </row>
    <row r="4" spans="1:6" ht="15" customHeight="1">
      <c r="A4" s="44" t="s">
        <v>21</v>
      </c>
      <c r="B4" s="44"/>
      <c r="C4" s="44"/>
      <c r="D4" s="44"/>
      <c r="E4" s="44"/>
      <c r="F4" s="44"/>
    </row>
    <row r="5" spans="1:6" ht="12.75" customHeight="1">
      <c r="A5" s="9" t="s">
        <v>13</v>
      </c>
      <c r="B5" s="18">
        <v>72</v>
      </c>
      <c r="C5" s="4">
        <v>13405</v>
      </c>
      <c r="D5" s="4">
        <v>601787</v>
      </c>
      <c r="E5" s="4">
        <v>3616390</v>
      </c>
      <c r="F5" s="22">
        <v>75.2</v>
      </c>
    </row>
    <row r="6" spans="1:6" ht="12.75" customHeight="1">
      <c r="A6" s="9" t="s">
        <v>14</v>
      </c>
      <c r="B6" s="18">
        <v>70</v>
      </c>
      <c r="C6" s="4">
        <v>13322</v>
      </c>
      <c r="D6" s="4">
        <v>569587</v>
      </c>
      <c r="E6" s="4">
        <v>3563358</v>
      </c>
      <c r="F6" s="22">
        <v>75.9</v>
      </c>
    </row>
    <row r="7" spans="1:6" ht="12.75" customHeight="1">
      <c r="A7" s="9" t="s">
        <v>15</v>
      </c>
      <c r="B7" s="18">
        <v>71</v>
      </c>
      <c r="C7" s="4">
        <v>12544</v>
      </c>
      <c r="D7" s="4">
        <v>582468</v>
      </c>
      <c r="E7" s="4">
        <v>3606773</v>
      </c>
      <c r="F7" s="22">
        <v>81.1</v>
      </c>
    </row>
    <row r="8" spans="1:6" ht="12.75" customHeight="1">
      <c r="A8" s="9" t="s">
        <v>16</v>
      </c>
      <c r="B8" s="18">
        <v>71</v>
      </c>
      <c r="C8" s="4">
        <v>12323</v>
      </c>
      <c r="D8" s="4">
        <v>547850</v>
      </c>
      <c r="E8" s="4">
        <v>3535810</v>
      </c>
      <c r="F8" s="22">
        <v>81.1</v>
      </c>
    </row>
    <row r="9" spans="1:6" ht="19.5" customHeight="1">
      <c r="A9" s="44" t="s">
        <v>40</v>
      </c>
      <c r="B9" s="45"/>
      <c r="C9" s="45"/>
      <c r="D9" s="45"/>
      <c r="E9" s="45"/>
      <c r="F9" s="45"/>
    </row>
    <row r="10" spans="1:15" ht="12.75" customHeight="1">
      <c r="A10" s="7" t="s">
        <v>0</v>
      </c>
      <c r="B10" s="18">
        <v>5</v>
      </c>
      <c r="C10" s="4">
        <v>754</v>
      </c>
      <c r="D10" s="4">
        <v>39623</v>
      </c>
      <c r="E10" s="4">
        <v>209706</v>
      </c>
      <c r="F10" s="22">
        <v>76.2</v>
      </c>
      <c r="G10" s="4"/>
      <c r="H10" s="18"/>
      <c r="N10" s="38"/>
      <c r="O10" s="38"/>
    </row>
    <row r="11" spans="1:14" ht="12.75" customHeight="1">
      <c r="A11" s="7" t="s">
        <v>1</v>
      </c>
      <c r="B11" s="18">
        <v>6</v>
      </c>
      <c r="C11" s="4">
        <v>626</v>
      </c>
      <c r="D11" s="4">
        <v>32521</v>
      </c>
      <c r="E11" s="4">
        <v>166575</v>
      </c>
      <c r="F11" s="22">
        <v>73.9</v>
      </c>
      <c r="G11" s="4"/>
      <c r="H11" s="18"/>
      <c r="N11" s="38"/>
    </row>
    <row r="12" spans="1:14" ht="12.75" customHeight="1">
      <c r="A12" s="7" t="s">
        <v>5</v>
      </c>
      <c r="B12" s="18">
        <v>11</v>
      </c>
      <c r="C12" s="4">
        <v>2878</v>
      </c>
      <c r="D12" s="4">
        <v>131319</v>
      </c>
      <c r="E12" s="4">
        <v>840450</v>
      </c>
      <c r="F12" s="22">
        <v>85.3</v>
      </c>
      <c r="G12" s="4"/>
      <c r="H12" s="18"/>
      <c r="N12" s="38"/>
    </row>
    <row r="13" spans="1:14" ht="12.75" customHeight="1">
      <c r="A13" s="7" t="s">
        <v>2</v>
      </c>
      <c r="B13" s="18">
        <v>5</v>
      </c>
      <c r="C13" s="4">
        <v>816</v>
      </c>
      <c r="D13" s="4">
        <v>23857</v>
      </c>
      <c r="E13" s="4">
        <v>229698</v>
      </c>
      <c r="F13" s="22">
        <v>77.4</v>
      </c>
      <c r="G13" s="4"/>
      <c r="H13" s="18"/>
      <c r="N13" s="38"/>
    </row>
    <row r="14" spans="1:14" ht="12.75" customHeight="1">
      <c r="A14" s="7" t="s">
        <v>3</v>
      </c>
      <c r="B14" s="18">
        <v>11</v>
      </c>
      <c r="C14" s="4">
        <v>2049</v>
      </c>
      <c r="D14" s="4">
        <v>78939</v>
      </c>
      <c r="E14" s="4">
        <v>209706</v>
      </c>
      <c r="F14" s="22">
        <v>80.8</v>
      </c>
      <c r="G14" s="4"/>
      <c r="H14" s="18"/>
      <c r="N14" s="38"/>
    </row>
    <row r="15" spans="1:14" ht="12.75" customHeight="1">
      <c r="A15" s="7" t="s">
        <v>4</v>
      </c>
      <c r="B15" s="18">
        <v>16</v>
      </c>
      <c r="C15" s="4">
        <v>3115</v>
      </c>
      <c r="D15" s="4">
        <v>125556</v>
      </c>
      <c r="E15" s="4">
        <v>918145</v>
      </c>
      <c r="F15" s="22">
        <v>81.8</v>
      </c>
      <c r="G15" s="4"/>
      <c r="H15" s="18"/>
      <c r="N15" s="38"/>
    </row>
    <row r="16" spans="1:14" ht="12.75" customHeight="1">
      <c r="A16" s="7" t="s">
        <v>6</v>
      </c>
      <c r="B16" s="18">
        <v>5</v>
      </c>
      <c r="C16" s="4">
        <v>697</v>
      </c>
      <c r="D16" s="4">
        <v>40249</v>
      </c>
      <c r="E16" s="4">
        <v>208553</v>
      </c>
      <c r="F16" s="22">
        <v>82.8</v>
      </c>
      <c r="G16" s="4"/>
      <c r="H16" s="18"/>
      <c r="N16" s="38"/>
    </row>
    <row r="17" spans="1:14" ht="12.75" customHeight="1">
      <c r="A17" s="7" t="s">
        <v>7</v>
      </c>
      <c r="B17" s="18">
        <v>5</v>
      </c>
      <c r="C17" s="4">
        <v>692</v>
      </c>
      <c r="D17" s="4">
        <v>35142</v>
      </c>
      <c r="E17" s="4">
        <v>196907</v>
      </c>
      <c r="F17" s="22">
        <v>78.3</v>
      </c>
      <c r="G17" s="4"/>
      <c r="H17" s="18"/>
      <c r="N17" s="38"/>
    </row>
    <row r="18" spans="1:14" ht="12.75" customHeight="1">
      <c r="A18" s="7" t="s">
        <v>8</v>
      </c>
      <c r="B18" s="18">
        <v>7</v>
      </c>
      <c r="C18" s="4">
        <v>696</v>
      </c>
      <c r="D18" s="4">
        <v>40644</v>
      </c>
      <c r="E18" s="4">
        <v>200822</v>
      </c>
      <c r="F18" s="22">
        <v>79.8</v>
      </c>
      <c r="G18" s="4"/>
      <c r="H18" s="18"/>
      <c r="N18" s="38"/>
    </row>
    <row r="19" spans="1:14" ht="19.5" customHeight="1">
      <c r="A19" s="44" t="s">
        <v>41</v>
      </c>
      <c r="B19" s="44"/>
      <c r="C19" s="44"/>
      <c r="D19" s="44"/>
      <c r="E19" s="44"/>
      <c r="F19" s="44"/>
      <c r="N19" s="38"/>
    </row>
    <row r="20" spans="1:14" ht="12.75" customHeight="1">
      <c r="A20" s="7" t="s">
        <v>22</v>
      </c>
      <c r="B20" s="18">
        <f>103+169</f>
        <v>272</v>
      </c>
      <c r="C20" s="4">
        <f>17638+36357</f>
        <v>53995</v>
      </c>
      <c r="D20" s="4">
        <f>741583+1573265</f>
        <v>2314848</v>
      </c>
      <c r="E20" s="4">
        <f>10472953+4872656</f>
        <v>15345609</v>
      </c>
      <c r="F20" s="22" t="s">
        <v>18</v>
      </c>
      <c r="G20" s="4"/>
      <c r="H20" s="24"/>
      <c r="N20" s="38"/>
    </row>
    <row r="21" spans="1:14" ht="12.75" customHeight="1">
      <c r="A21" s="7" t="s">
        <v>23</v>
      </c>
      <c r="B21" s="18">
        <f>+B22-B20</f>
        <v>383</v>
      </c>
      <c r="C21" s="4">
        <f>+C22-C20</f>
        <v>121832</v>
      </c>
      <c r="D21" s="4">
        <f>+D22-D20</f>
        <v>4476560</v>
      </c>
      <c r="E21" s="4">
        <f>+E22-E20</f>
        <v>36208117</v>
      </c>
      <c r="F21" s="39" t="s">
        <v>18</v>
      </c>
      <c r="G21" s="31"/>
      <c r="H21" s="24"/>
      <c r="N21" s="38"/>
    </row>
    <row r="22" spans="1:14" s="5" customFormat="1" ht="12.75" customHeight="1">
      <c r="A22" s="7" t="s">
        <v>31</v>
      </c>
      <c r="B22" s="18">
        <v>655</v>
      </c>
      <c r="C22" s="4">
        <v>175827</v>
      </c>
      <c r="D22" s="4">
        <v>6791408</v>
      </c>
      <c r="E22" s="4">
        <v>51553726</v>
      </c>
      <c r="F22" s="22">
        <v>82.2</v>
      </c>
      <c r="G22" s="4"/>
      <c r="H22" s="24"/>
      <c r="J22" s="1"/>
      <c r="K22" s="1"/>
      <c r="L22" s="1"/>
      <c r="N22" s="38"/>
    </row>
    <row r="23" spans="1:6" s="5" customFormat="1" ht="21.75" customHeight="1">
      <c r="A23" s="17" t="s">
        <v>42</v>
      </c>
      <c r="B23" s="23">
        <f>+B8*100/B22</f>
        <v>10.83969465648855</v>
      </c>
      <c r="C23" s="23">
        <f>+C8*100/C22</f>
        <v>7.0085936744641035</v>
      </c>
      <c r="D23" s="23">
        <f>+D8*100/D22</f>
        <v>8.066810299130902</v>
      </c>
      <c r="E23" s="23">
        <f>+E8*100/E22</f>
        <v>6.85849554307675</v>
      </c>
      <c r="F23" s="23">
        <f>+F8*100/F22</f>
        <v>98.66180048661799</v>
      </c>
    </row>
    <row r="24" spans="1:10" ht="19.5" customHeight="1">
      <c r="A24" s="44" t="s">
        <v>44</v>
      </c>
      <c r="B24" s="44"/>
      <c r="C24" s="44"/>
      <c r="D24" s="44"/>
      <c r="E24" s="44"/>
      <c r="F24" s="44"/>
      <c r="J24" s="38"/>
    </row>
    <row r="25" spans="1:10" ht="15" customHeight="1">
      <c r="A25" s="44" t="s">
        <v>21</v>
      </c>
      <c r="B25" s="44"/>
      <c r="C25" s="44"/>
      <c r="D25" s="44"/>
      <c r="E25" s="44"/>
      <c r="F25" s="44"/>
      <c r="J25" s="38"/>
    </row>
    <row r="26" spans="1:6" ht="15.75" customHeight="1">
      <c r="A26" s="9" t="s">
        <v>13</v>
      </c>
      <c r="B26" s="18">
        <v>62</v>
      </c>
      <c r="C26" s="4">
        <v>4137</v>
      </c>
      <c r="D26" s="4">
        <v>149298</v>
      </c>
      <c r="E26" s="4">
        <v>855104</v>
      </c>
      <c r="F26" s="24">
        <v>58.4</v>
      </c>
    </row>
    <row r="27" spans="1:6" ht="17.25" customHeight="1">
      <c r="A27" s="9" t="s">
        <v>14</v>
      </c>
      <c r="B27" s="18">
        <f>SUM(B31:B39)</f>
        <v>65</v>
      </c>
      <c r="C27" s="4">
        <f>SUM(C31:C39)</f>
        <v>3993</v>
      </c>
      <c r="D27" s="4">
        <f>SUM(D31:D39)</f>
        <v>130229</v>
      </c>
      <c r="E27" s="4">
        <f>SUM(E31:E39)</f>
        <v>735317</v>
      </c>
      <c r="F27" s="24">
        <v>60.6</v>
      </c>
    </row>
    <row r="28" spans="1:6" ht="15" customHeight="1">
      <c r="A28" s="9" t="s">
        <v>15</v>
      </c>
      <c r="B28" s="18">
        <v>62</v>
      </c>
      <c r="C28" s="4">
        <v>3997</v>
      </c>
      <c r="D28" s="4">
        <v>140479</v>
      </c>
      <c r="E28" s="4">
        <v>829462</v>
      </c>
      <c r="F28" s="22">
        <v>58.56</v>
      </c>
    </row>
    <row r="29" spans="1:6" ht="15" customHeight="1">
      <c r="A29" s="9" t="s">
        <v>16</v>
      </c>
      <c r="B29" s="18">
        <v>65</v>
      </c>
      <c r="C29" s="4">
        <v>3993</v>
      </c>
      <c r="D29" s="4">
        <v>130229</v>
      </c>
      <c r="E29" s="4">
        <v>735317</v>
      </c>
      <c r="F29" s="22">
        <v>53.5</v>
      </c>
    </row>
    <row r="30" spans="1:6" ht="19.5" customHeight="1">
      <c r="A30" s="44" t="s">
        <v>40</v>
      </c>
      <c r="B30" s="44"/>
      <c r="C30" s="44"/>
      <c r="D30" s="44"/>
      <c r="E30" s="44"/>
      <c r="F30" s="44"/>
    </row>
    <row r="31" spans="1:10" ht="12.75" customHeight="1">
      <c r="A31" s="7" t="s">
        <v>0</v>
      </c>
      <c r="B31" s="18">
        <v>2</v>
      </c>
      <c r="C31" s="4">
        <v>136</v>
      </c>
      <c r="D31" s="4">
        <v>5946</v>
      </c>
      <c r="E31" s="4">
        <v>23807</v>
      </c>
      <c r="F31" s="24">
        <v>48.8</v>
      </c>
      <c r="G31" s="24"/>
      <c r="H31" s="24"/>
      <c r="I31" s="24"/>
      <c r="J31" s="24"/>
    </row>
    <row r="32" spans="1:10" ht="12.75" customHeight="1">
      <c r="A32" s="7" t="s">
        <v>1</v>
      </c>
      <c r="B32" s="18">
        <v>2</v>
      </c>
      <c r="C32" s="4">
        <v>135</v>
      </c>
      <c r="D32" s="4">
        <v>5315</v>
      </c>
      <c r="E32" s="4">
        <v>24054</v>
      </c>
      <c r="F32" s="24">
        <v>49.4</v>
      </c>
      <c r="G32" s="24"/>
      <c r="H32" s="24"/>
      <c r="I32" s="24"/>
      <c r="J32" s="24"/>
    </row>
    <row r="33" spans="1:10" ht="12.75" customHeight="1">
      <c r="A33" s="7" t="s">
        <v>5</v>
      </c>
      <c r="B33" s="18">
        <v>24</v>
      </c>
      <c r="C33" s="4">
        <v>1302</v>
      </c>
      <c r="D33" s="4">
        <v>41600</v>
      </c>
      <c r="E33" s="4">
        <v>241320</v>
      </c>
      <c r="F33" s="24">
        <v>53.6</v>
      </c>
      <c r="G33" s="24"/>
      <c r="H33" s="24"/>
      <c r="I33" s="24"/>
      <c r="J33" s="24"/>
    </row>
    <row r="34" spans="1:10" ht="12.75" customHeight="1">
      <c r="A34" s="7" t="s">
        <v>2</v>
      </c>
      <c r="B34" s="18" t="s">
        <v>12</v>
      </c>
      <c r="C34" s="18" t="s">
        <v>12</v>
      </c>
      <c r="D34" s="18" t="s">
        <v>12</v>
      </c>
      <c r="E34" s="18" t="s">
        <v>12</v>
      </c>
      <c r="F34" s="18" t="s">
        <v>12</v>
      </c>
      <c r="G34" s="24"/>
      <c r="H34" s="24"/>
      <c r="I34" s="24"/>
      <c r="J34" s="24"/>
    </row>
    <row r="35" spans="1:10" ht="12.75" customHeight="1">
      <c r="A35" s="7" t="s">
        <v>3</v>
      </c>
      <c r="B35" s="18">
        <v>10</v>
      </c>
      <c r="C35" s="4">
        <v>680</v>
      </c>
      <c r="D35" s="4">
        <v>22742</v>
      </c>
      <c r="E35" s="4">
        <v>144992</v>
      </c>
      <c r="F35" s="24">
        <v>59.1</v>
      </c>
      <c r="G35" s="24"/>
      <c r="H35" s="24"/>
      <c r="I35" s="24"/>
      <c r="J35" s="24"/>
    </row>
    <row r="36" spans="1:10" ht="12.75" customHeight="1">
      <c r="A36" s="7" t="s">
        <v>4</v>
      </c>
      <c r="B36" s="18">
        <v>18</v>
      </c>
      <c r="C36" s="4">
        <v>1186</v>
      </c>
      <c r="D36" s="4">
        <v>38258</v>
      </c>
      <c r="E36" s="4">
        <v>211720</v>
      </c>
      <c r="F36" s="24">
        <v>54.6</v>
      </c>
      <c r="G36" s="24"/>
      <c r="H36" s="24"/>
      <c r="I36" s="24"/>
      <c r="J36" s="24"/>
    </row>
    <row r="37" spans="1:10" ht="12.75" customHeight="1">
      <c r="A37" s="7" t="s">
        <v>6</v>
      </c>
      <c r="B37" s="18">
        <v>1</v>
      </c>
      <c r="C37" s="4">
        <v>60</v>
      </c>
      <c r="D37" s="4">
        <v>1706</v>
      </c>
      <c r="E37" s="4">
        <v>11106</v>
      </c>
      <c r="F37" s="24">
        <v>58.9</v>
      </c>
      <c r="G37" s="24"/>
      <c r="H37" s="24"/>
      <c r="I37" s="24"/>
      <c r="J37" s="24"/>
    </row>
    <row r="38" spans="1:10" ht="12.75" customHeight="1">
      <c r="A38" s="7" t="s">
        <v>7</v>
      </c>
      <c r="B38" s="18">
        <v>5</v>
      </c>
      <c r="C38" s="4">
        <v>348</v>
      </c>
      <c r="D38" s="4">
        <v>9606</v>
      </c>
      <c r="E38" s="4">
        <v>50504</v>
      </c>
      <c r="F38" s="24">
        <v>41.9</v>
      </c>
      <c r="G38" s="24"/>
      <c r="H38" s="24"/>
      <c r="I38" s="24"/>
      <c r="J38" s="24"/>
    </row>
    <row r="39" spans="1:10" ht="12.75" customHeight="1">
      <c r="A39" s="7" t="s">
        <v>8</v>
      </c>
      <c r="B39" s="18">
        <v>3</v>
      </c>
      <c r="C39" s="4">
        <v>146</v>
      </c>
      <c r="D39" s="4">
        <v>5056</v>
      </c>
      <c r="E39" s="4">
        <v>27814</v>
      </c>
      <c r="F39" s="24">
        <v>52.2</v>
      </c>
      <c r="G39" s="24"/>
      <c r="H39" s="24"/>
      <c r="I39" s="24"/>
      <c r="J39" s="24"/>
    </row>
    <row r="40" spans="1:7" ht="19.5" customHeight="1">
      <c r="A40" s="44" t="s">
        <v>41</v>
      </c>
      <c r="B40" s="44"/>
      <c r="C40" s="44"/>
      <c r="D40" s="44"/>
      <c r="E40" s="44"/>
      <c r="F40" s="44"/>
      <c r="G40" s="24"/>
    </row>
    <row r="41" spans="1:8" ht="16.5" customHeight="1">
      <c r="A41" s="7" t="s">
        <v>22</v>
      </c>
      <c r="B41" s="18">
        <f>77+165</f>
        <v>242</v>
      </c>
      <c r="C41" s="4">
        <f>5247+13928</f>
        <v>19175</v>
      </c>
      <c r="D41" s="4">
        <f>164435+452783</f>
        <v>617218</v>
      </c>
      <c r="E41" s="4">
        <f>958263+3353588</f>
        <v>4311851</v>
      </c>
      <c r="F41" s="22" t="s">
        <v>18</v>
      </c>
      <c r="G41" s="24"/>
      <c r="H41" s="24"/>
    </row>
    <row r="42" spans="1:8" ht="15.75" customHeight="1">
      <c r="A42" s="7" t="s">
        <v>23</v>
      </c>
      <c r="B42" s="18">
        <f>+B43-B41</f>
        <v>374</v>
      </c>
      <c r="C42" s="4">
        <f>+C43-C41</f>
        <v>33761</v>
      </c>
      <c r="D42" s="4">
        <f>+D43-D41</f>
        <v>766404</v>
      </c>
      <c r="E42" s="4">
        <f>+E43-E41</f>
        <v>7918897</v>
      </c>
      <c r="F42" s="40" t="s">
        <v>18</v>
      </c>
      <c r="G42" s="24"/>
      <c r="H42" s="24"/>
    </row>
    <row r="43" spans="1:8" s="5" customFormat="1" ht="16.5" customHeight="1">
      <c r="A43" s="7" t="s">
        <v>31</v>
      </c>
      <c r="B43" s="18">
        <v>616</v>
      </c>
      <c r="C43" s="4">
        <v>52936</v>
      </c>
      <c r="D43" s="4">
        <v>1383622</v>
      </c>
      <c r="E43" s="4">
        <v>12230748</v>
      </c>
      <c r="F43" s="24">
        <v>66.1</v>
      </c>
      <c r="G43" s="24"/>
      <c r="H43" s="24"/>
    </row>
    <row r="44" spans="1:6" s="5" customFormat="1" ht="21.75" customHeight="1">
      <c r="A44" s="17" t="s">
        <v>42</v>
      </c>
      <c r="B44" s="23">
        <f>+B29*100/B43</f>
        <v>10.551948051948052</v>
      </c>
      <c r="C44" s="23">
        <f>+C29*100/C43</f>
        <v>7.543070878041409</v>
      </c>
      <c r="D44" s="23">
        <f>+D29*100/D43</f>
        <v>9.412180494383582</v>
      </c>
      <c r="E44" s="23">
        <f>+E29*100/E43</f>
        <v>6.012036222150926</v>
      </c>
      <c r="F44" s="23">
        <f>+F29*100/F43</f>
        <v>80.93797276853253</v>
      </c>
    </row>
    <row r="45" spans="1:6" ht="12.75">
      <c r="A45" s="11"/>
      <c r="B45" s="6"/>
      <c r="C45" s="6"/>
      <c r="D45" s="6"/>
      <c r="E45" s="6"/>
      <c r="F45" s="6"/>
    </row>
    <row r="46" spans="1:6" ht="13.5" customHeight="1">
      <c r="A46" s="7" t="s">
        <v>32</v>
      </c>
      <c r="B46" s="7"/>
      <c r="C46" s="7"/>
      <c r="D46" s="7"/>
      <c r="E46" s="7"/>
      <c r="F46" s="7"/>
    </row>
  </sheetData>
  <sheetProtection/>
  <mergeCells count="8">
    <mergeCell ref="A24:F24"/>
    <mergeCell ref="A25:F25"/>
    <mergeCell ref="A30:F30"/>
    <mergeCell ref="A40:F40"/>
    <mergeCell ref="A3:F3"/>
    <mergeCell ref="A4:F4"/>
    <mergeCell ref="A9:F9"/>
    <mergeCell ref="A19:F19"/>
  </mergeCells>
  <printOptions horizontalCentered="1" verticalCentered="1"/>
  <pageMargins left="0.7874015748031497" right="0.7874015748031497" top="0.55" bottom="0.56" header="0.5118110236220472" footer="0.5118110236220472"/>
  <pageSetup fitToHeight="3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H3" sqref="H3"/>
    </sheetView>
  </sheetViews>
  <sheetFormatPr defaultColWidth="8.66015625" defaultRowHeight="20.25"/>
  <cols>
    <col min="1" max="1" width="18.5" style="1" customWidth="1"/>
    <col min="2" max="2" width="9.66015625" style="1" customWidth="1"/>
    <col min="3" max="16384" width="8.83203125" style="1" customWidth="1"/>
  </cols>
  <sheetData>
    <row r="1" ht="19.5" customHeight="1">
      <c r="A1" s="8" t="s">
        <v>20</v>
      </c>
    </row>
    <row r="2" spans="1:5" ht="34.5" customHeight="1">
      <c r="A2" s="19"/>
      <c r="B2" s="25">
        <v>2006</v>
      </c>
      <c r="C2" s="25">
        <v>2007</v>
      </c>
      <c r="D2" s="25">
        <v>2008</v>
      </c>
      <c r="E2" s="25">
        <v>2009</v>
      </c>
    </row>
    <row r="3" spans="1:5" ht="24.75" customHeight="1">
      <c r="A3" s="43" t="s">
        <v>21</v>
      </c>
      <c r="B3" s="43"/>
      <c r="C3" s="43"/>
      <c r="D3" s="43"/>
      <c r="E3" s="43"/>
    </row>
    <row r="4" spans="1:5" ht="15.75" customHeight="1">
      <c r="A4" s="20" t="s">
        <v>24</v>
      </c>
      <c r="B4" s="12">
        <v>8405224</v>
      </c>
      <c r="C4" s="12">
        <v>8327086</v>
      </c>
      <c r="D4" s="12">
        <v>8279633</v>
      </c>
      <c r="E4" s="12">
        <v>8418844</v>
      </c>
    </row>
    <row r="5" spans="1:5" ht="15.75" customHeight="1">
      <c r="A5" s="20" t="s">
        <v>25</v>
      </c>
      <c r="B5" s="12">
        <v>1675</v>
      </c>
      <c r="C5" s="12">
        <v>1658</v>
      </c>
      <c r="D5" s="12">
        <v>1645</v>
      </c>
      <c r="E5" s="12">
        <v>1671</v>
      </c>
    </row>
    <row r="6" spans="1:5" ht="15.75" customHeight="1">
      <c r="A6" s="1" t="s">
        <v>26</v>
      </c>
      <c r="B6" s="12">
        <v>-9412424</v>
      </c>
      <c r="C6" s="12">
        <v>-8472527</v>
      </c>
      <c r="D6" s="12">
        <v>-8386370</v>
      </c>
      <c r="E6" s="12">
        <v>-8519672</v>
      </c>
    </row>
    <row r="7" spans="1:5" ht="15.75" customHeight="1">
      <c r="A7" s="1" t="s">
        <v>27</v>
      </c>
      <c r="B7" s="12">
        <v>8680478</v>
      </c>
      <c r="C7" s="12">
        <v>8097346</v>
      </c>
      <c r="D7" s="12">
        <v>8323663</v>
      </c>
      <c r="E7" s="12">
        <v>8485875</v>
      </c>
    </row>
    <row r="8" spans="1:5" ht="15.75" customHeight="1">
      <c r="A8" s="1" t="s">
        <v>28</v>
      </c>
      <c r="B8" s="12">
        <v>-200507</v>
      </c>
      <c r="C8" s="12">
        <v>-198697</v>
      </c>
      <c r="D8" s="12">
        <v>-198884</v>
      </c>
      <c r="E8" s="12">
        <v>-198884</v>
      </c>
    </row>
    <row r="9" spans="1:5" ht="15.75" customHeight="1">
      <c r="A9" s="1" t="s">
        <v>29</v>
      </c>
      <c r="B9" s="12">
        <f>SUM(B6:B8)</f>
        <v>-932453</v>
      </c>
      <c r="C9" s="12">
        <f>SUM(C6:C8)</f>
        <v>-573878</v>
      </c>
      <c r="D9" s="12">
        <f>SUM(D6:D8)</f>
        <v>-261591</v>
      </c>
      <c r="E9" s="12">
        <f>SUM(E6:E8)</f>
        <v>-232681</v>
      </c>
    </row>
    <row r="10" spans="1:5" ht="15.75" customHeight="1">
      <c r="A10" s="1" t="s">
        <v>30</v>
      </c>
      <c r="B10" s="12">
        <v>-186</v>
      </c>
      <c r="C10" s="12">
        <v>-114</v>
      </c>
      <c r="D10" s="12">
        <v>-52</v>
      </c>
      <c r="E10" s="12">
        <v>-46</v>
      </c>
    </row>
    <row r="11" spans="1:5" ht="18" customHeight="1">
      <c r="A11" s="44" t="s">
        <v>22</v>
      </c>
      <c r="B11" s="44"/>
      <c r="C11" s="44"/>
      <c r="D11" s="44"/>
      <c r="E11" s="44"/>
    </row>
    <row r="12" spans="1:5" ht="15.75" customHeight="1">
      <c r="A12" s="20" t="s">
        <v>24</v>
      </c>
      <c r="B12" s="12">
        <v>33216069</v>
      </c>
      <c r="C12" s="12">
        <v>34844908</v>
      </c>
      <c r="D12" s="12">
        <v>35679200</v>
      </c>
      <c r="E12" s="12">
        <v>36198006</v>
      </c>
    </row>
    <row r="13" spans="1:5" ht="15.75" customHeight="1">
      <c r="A13" s="20" t="s">
        <v>25</v>
      </c>
      <c r="B13" s="12">
        <v>1600</v>
      </c>
      <c r="C13" s="12">
        <v>1673</v>
      </c>
      <c r="D13" s="12">
        <v>1710</v>
      </c>
      <c r="E13" s="12">
        <v>1734</v>
      </c>
    </row>
    <row r="14" spans="1:5" ht="15.75" customHeight="1">
      <c r="A14" s="1" t="s">
        <v>26</v>
      </c>
      <c r="B14" s="12">
        <v>-34842236</v>
      </c>
      <c r="C14" s="12">
        <v>-35421518</v>
      </c>
      <c r="D14" s="12">
        <v>-36261448</v>
      </c>
      <c r="E14" s="12">
        <v>-36583630</v>
      </c>
    </row>
    <row r="15" spans="1:5" ht="15.75" customHeight="1">
      <c r="A15" s="1" t="s">
        <v>27</v>
      </c>
      <c r="B15" s="12">
        <v>33546642</v>
      </c>
      <c r="C15" s="12">
        <v>34203116</v>
      </c>
      <c r="D15" s="12">
        <v>35386134</v>
      </c>
      <c r="E15" s="12">
        <v>35753535</v>
      </c>
    </row>
    <row r="16" spans="1:5" ht="15.75" customHeight="1">
      <c r="A16" s="1" t="s">
        <v>28</v>
      </c>
      <c r="B16" s="12">
        <v>-954013</v>
      </c>
      <c r="C16" s="12">
        <v>-960021</v>
      </c>
      <c r="D16" s="12">
        <v>-978516</v>
      </c>
      <c r="E16" s="12">
        <v>-978516</v>
      </c>
    </row>
    <row r="17" spans="1:5" ht="15.75" customHeight="1">
      <c r="A17" s="1" t="s">
        <v>29</v>
      </c>
      <c r="B17" s="12">
        <f>B15+B14+B16</f>
        <v>-2249607</v>
      </c>
      <c r="C17" s="12">
        <f>C15+C14+C16</f>
        <v>-2178423</v>
      </c>
      <c r="D17" s="12">
        <f>D15+D14+D16</f>
        <v>-1853830</v>
      </c>
      <c r="E17" s="12">
        <f>E15+E14+E16</f>
        <v>-1808611</v>
      </c>
    </row>
    <row r="18" spans="1:5" ht="15.75" customHeight="1">
      <c r="A18" s="1" t="s">
        <v>30</v>
      </c>
      <c r="B18" s="12">
        <v>-108</v>
      </c>
      <c r="C18" s="12">
        <v>-105</v>
      </c>
      <c r="D18" s="12">
        <v>-89</v>
      </c>
      <c r="E18" s="12">
        <v>-87</v>
      </c>
    </row>
    <row r="19" spans="1:5" ht="18" customHeight="1">
      <c r="A19" s="44" t="s">
        <v>23</v>
      </c>
      <c r="B19" s="44"/>
      <c r="C19" s="44"/>
      <c r="D19" s="44"/>
      <c r="E19" s="44"/>
    </row>
    <row r="20" spans="1:5" ht="15.75" customHeight="1">
      <c r="A20" s="20" t="s">
        <v>24</v>
      </c>
      <c r="B20" s="12">
        <f>B28-B12</f>
        <v>65914066</v>
      </c>
      <c r="C20" s="12">
        <f>C28-C12</f>
        <v>68442829</v>
      </c>
      <c r="D20" s="12">
        <f>D28-D12</f>
        <v>70912823</v>
      </c>
      <c r="E20" s="12">
        <f>E28-E12</f>
        <v>72865873</v>
      </c>
    </row>
    <row r="21" spans="1:5" ht="15.75" customHeight="1">
      <c r="A21" s="20" t="s">
        <v>25</v>
      </c>
      <c r="B21" s="12">
        <v>1718</v>
      </c>
      <c r="C21" s="12">
        <v>1764</v>
      </c>
      <c r="D21" s="12">
        <v>1809</v>
      </c>
      <c r="E21" s="12">
        <v>1846</v>
      </c>
    </row>
    <row r="22" spans="1:5" ht="15.75" customHeight="1">
      <c r="A22" s="1" t="s">
        <v>26</v>
      </c>
      <c r="B22" s="12">
        <f aca="true" t="shared" si="0" ref="B22:E23">B30-B14</f>
        <v>-67435570</v>
      </c>
      <c r="C22" s="12">
        <f t="shared" si="0"/>
        <v>-70154027</v>
      </c>
      <c r="D22" s="12">
        <f t="shared" si="0"/>
        <v>-72427471</v>
      </c>
      <c r="E22" s="12">
        <f t="shared" si="0"/>
        <v>-74236829</v>
      </c>
    </row>
    <row r="23" spans="1:5" ht="15.75" customHeight="1">
      <c r="A23" s="1" t="s">
        <v>27</v>
      </c>
      <c r="B23" s="12">
        <f t="shared" si="0"/>
        <v>64247804</v>
      </c>
      <c r="C23" s="12">
        <f t="shared" si="0"/>
        <v>67663116</v>
      </c>
      <c r="D23" s="12">
        <f t="shared" si="0"/>
        <v>69834112</v>
      </c>
      <c r="E23" s="12">
        <f t="shared" si="0"/>
        <v>71806917</v>
      </c>
    </row>
    <row r="24" spans="1:5" ht="15.75" customHeight="1">
      <c r="A24" s="1" t="s">
        <v>28</v>
      </c>
      <c r="B24" s="12">
        <v>-951012</v>
      </c>
      <c r="C24" s="12">
        <v>-960022</v>
      </c>
      <c r="D24" s="12">
        <v>-978517</v>
      </c>
      <c r="E24" s="12">
        <v>-978517</v>
      </c>
    </row>
    <row r="25" spans="1:5" ht="15.75" customHeight="1">
      <c r="A25" s="1" t="s">
        <v>29</v>
      </c>
      <c r="B25" s="12">
        <f>B23+B22+B24</f>
        <v>-4138778</v>
      </c>
      <c r="C25" s="12">
        <f>C23+C22+C24</f>
        <v>-3450933</v>
      </c>
      <c r="D25" s="12">
        <f>D23+D22+D24</f>
        <v>-3571876</v>
      </c>
      <c r="E25" s="12">
        <f>E23+E22+E24</f>
        <v>-3408429</v>
      </c>
    </row>
    <row r="26" spans="1:5" ht="15.75" customHeight="1">
      <c r="A26" s="1" t="s">
        <v>30</v>
      </c>
      <c r="B26" s="12">
        <v>-107.8</v>
      </c>
      <c r="C26" s="12">
        <v>-88.9</v>
      </c>
      <c r="D26" s="12">
        <v>-91.1</v>
      </c>
      <c r="E26" s="12">
        <v>-86.4</v>
      </c>
    </row>
    <row r="27" spans="1:5" ht="18" customHeight="1">
      <c r="A27" s="44" t="s">
        <v>31</v>
      </c>
      <c r="B27" s="44"/>
      <c r="C27" s="44"/>
      <c r="D27" s="44"/>
      <c r="E27" s="44"/>
    </row>
    <row r="28" spans="1:5" ht="15.75" customHeight="1">
      <c r="A28" s="20" t="s">
        <v>24</v>
      </c>
      <c r="B28" s="12">
        <v>99130135</v>
      </c>
      <c r="C28" s="12">
        <v>103287737</v>
      </c>
      <c r="D28" s="12">
        <v>106592023</v>
      </c>
      <c r="E28" s="12">
        <v>109063879</v>
      </c>
    </row>
    <row r="29" spans="1:5" ht="15.75" customHeight="1">
      <c r="A29" s="20" t="s">
        <v>25</v>
      </c>
      <c r="B29" s="12">
        <v>1682</v>
      </c>
      <c r="C29" s="12">
        <v>1740</v>
      </c>
      <c r="D29" s="12">
        <v>1782</v>
      </c>
      <c r="E29" s="12">
        <v>1816</v>
      </c>
    </row>
    <row r="30" spans="1:5" ht="15.75" customHeight="1">
      <c r="A30" s="1" t="s">
        <v>26</v>
      </c>
      <c r="B30" s="12">
        <v>-102277806</v>
      </c>
      <c r="C30" s="12">
        <v>-105575545</v>
      </c>
      <c r="D30" s="12">
        <v>-108688919</v>
      </c>
      <c r="E30" s="12">
        <v>-110820459</v>
      </c>
    </row>
    <row r="31" spans="1:5" ht="15.75" customHeight="1">
      <c r="A31" s="1" t="s">
        <v>27</v>
      </c>
      <c r="B31" s="12">
        <v>97794446</v>
      </c>
      <c r="C31" s="12">
        <v>101866232</v>
      </c>
      <c r="D31" s="12">
        <v>105220246</v>
      </c>
      <c r="E31" s="12">
        <v>107560452</v>
      </c>
    </row>
    <row r="32" spans="1:5" ht="15.75" customHeight="1">
      <c r="A32" s="1" t="s">
        <v>28</v>
      </c>
      <c r="B32" s="12">
        <v>0</v>
      </c>
      <c r="C32" s="12">
        <v>0</v>
      </c>
      <c r="D32" s="12">
        <v>0</v>
      </c>
      <c r="E32" s="12">
        <v>0</v>
      </c>
    </row>
    <row r="33" spans="1:5" ht="15.75" customHeight="1">
      <c r="A33" s="1" t="s">
        <v>29</v>
      </c>
      <c r="B33" s="12">
        <f>B30+B31+B32</f>
        <v>-4483360</v>
      </c>
      <c r="C33" s="12">
        <f>C30+C31+C32</f>
        <v>-3709313</v>
      </c>
      <c r="D33" s="12">
        <f>D30+D31+D32</f>
        <v>-3468673</v>
      </c>
      <c r="E33" s="12">
        <f>E30+E31+E32</f>
        <v>-3260007</v>
      </c>
    </row>
    <row r="34" spans="1:5" ht="15.75" customHeight="1">
      <c r="A34" s="1" t="s">
        <v>30</v>
      </c>
      <c r="B34" s="12">
        <v>-76</v>
      </c>
      <c r="C34" s="12">
        <v>-62</v>
      </c>
      <c r="D34" s="12">
        <v>-58</v>
      </c>
      <c r="E34" s="12">
        <v>-54</v>
      </c>
    </row>
    <row r="35" spans="1:5" ht="12.75" customHeight="1">
      <c r="A35" s="21"/>
      <c r="B35" s="21"/>
      <c r="C35" s="6"/>
      <c r="D35" s="6"/>
      <c r="E35" s="6"/>
    </row>
    <row r="36" ht="13.5" customHeight="1">
      <c r="A36" s="1" t="s">
        <v>84</v>
      </c>
    </row>
    <row r="39" ht="12.75" customHeight="1"/>
  </sheetData>
  <sheetProtection/>
  <mergeCells count="4">
    <mergeCell ref="A27:E27"/>
    <mergeCell ref="A19:E19"/>
    <mergeCell ref="A11:E11"/>
    <mergeCell ref="A3:E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</dc:creator>
  <cp:keywords/>
  <dc:description/>
  <cp:lastModifiedBy>andris ozols</cp:lastModifiedBy>
  <cp:lastPrinted>2011-12-12T08:09:52Z</cp:lastPrinted>
  <dcterms:created xsi:type="dcterms:W3CDTF">2006-07-11T22:35:54Z</dcterms:created>
  <dcterms:modified xsi:type="dcterms:W3CDTF">2012-05-14T09:37:59Z</dcterms:modified>
  <cp:category/>
  <cp:version/>
  <cp:contentType/>
  <cp:contentStatus/>
</cp:coreProperties>
</file>